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7380" windowHeight="3640" tabRatio="700" firstSheet="1" activeTab="6"/>
  </bookViews>
  <sheets>
    <sheet name="Macro_and_inputs" sheetId="4" r:id="rId1"/>
    <sheet name="Assumptions" sheetId="6" r:id="rId2"/>
    <sheet name="Cashflow" sheetId="8" r:id="rId3"/>
    <sheet name="Рынок" sheetId="5" r:id="rId4"/>
    <sheet name="Доходы" sheetId="12" r:id="rId5"/>
    <sheet name="Цена" sheetId="15" r:id="rId6"/>
    <sheet name="Расходы" sheetId="13" r:id="rId7"/>
    <sheet name="Штат_людей" sheetId="17" r:id="rId8"/>
    <sheet name="КАПЕКС" sheetId="11" r:id="rId9"/>
    <sheet name="..." sheetId="16" r:id="rId10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" i="11" l="1"/>
  <c r="I1" i="11" s="1"/>
  <c r="J1" i="11" s="1"/>
  <c r="K1" i="11" s="1"/>
  <c r="L1" i="11" s="1"/>
  <c r="M1" i="11" s="1"/>
  <c r="N1" i="11" s="1"/>
  <c r="O1" i="11" s="1"/>
  <c r="P1" i="11" s="1"/>
  <c r="G19" i="13"/>
  <c r="E19" i="17"/>
  <c r="G19" i="17"/>
  <c r="F19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F7" i="17"/>
  <c r="F8" i="17"/>
  <c r="F9" i="17"/>
  <c r="F10" i="17"/>
  <c r="F11" i="17"/>
  <c r="F12" i="17"/>
  <c r="F13" i="17"/>
  <c r="F14" i="17"/>
  <c r="F15" i="17"/>
  <c r="F16" i="17"/>
  <c r="F17" i="17"/>
  <c r="F18" i="17"/>
  <c r="F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6" i="17"/>
  <c r="E6" i="17"/>
  <c r="C19" i="17"/>
  <c r="B19" i="17"/>
  <c r="E42" i="8" l="1"/>
  <c r="P32" i="12" l="1"/>
  <c r="O32" i="12"/>
  <c r="P31" i="12"/>
  <c r="O31" i="12"/>
  <c r="H23" i="13"/>
  <c r="I23" i="13" s="1"/>
  <c r="J23" i="13" s="1"/>
  <c r="K23" i="13" s="1"/>
  <c r="L23" i="13" s="1"/>
  <c r="M23" i="13" l="1"/>
  <c r="N23" i="13" s="1"/>
  <c r="O23" i="13" s="1"/>
  <c r="P23" i="13" s="1"/>
  <c r="G6" i="17" l="1"/>
  <c r="P21" i="8"/>
  <c r="O21" i="8"/>
  <c r="N21" i="8"/>
  <c r="M21" i="8"/>
  <c r="L21" i="8"/>
  <c r="K21" i="8"/>
  <c r="J21" i="8"/>
  <c r="I21" i="8"/>
  <c r="H21" i="8"/>
  <c r="G21" i="8"/>
  <c r="F21" i="8"/>
  <c r="P20" i="8"/>
  <c r="O20" i="8"/>
  <c r="N20" i="8"/>
  <c r="M20" i="8"/>
  <c r="L20" i="8"/>
  <c r="K20" i="8"/>
  <c r="J20" i="8"/>
  <c r="I20" i="8"/>
  <c r="H20" i="8"/>
  <c r="G20" i="8"/>
  <c r="F20" i="8"/>
  <c r="P19" i="8"/>
  <c r="O19" i="8"/>
  <c r="N19" i="8"/>
  <c r="M19" i="8"/>
  <c r="L19" i="8"/>
  <c r="K19" i="8"/>
  <c r="J19" i="8"/>
  <c r="I19" i="8"/>
  <c r="H19" i="8"/>
  <c r="G19" i="8"/>
  <c r="F19" i="8"/>
  <c r="P18" i="8"/>
  <c r="O18" i="8"/>
  <c r="N18" i="8"/>
  <c r="M18" i="8"/>
  <c r="L18" i="8"/>
  <c r="K18" i="8"/>
  <c r="J18" i="8"/>
  <c r="I18" i="8"/>
  <c r="H18" i="8"/>
  <c r="G18" i="8"/>
  <c r="F18" i="8"/>
  <c r="F17" i="8"/>
  <c r="P8" i="8"/>
  <c r="O8" i="8"/>
  <c r="P7" i="8"/>
  <c r="O7" i="8"/>
  <c r="G7" i="15"/>
  <c r="H7" i="15" s="1"/>
  <c r="I7" i="15" s="1"/>
  <c r="J7" i="15" s="1"/>
  <c r="K7" i="15" s="1"/>
  <c r="L7" i="15" s="1"/>
  <c r="M7" i="15" s="1"/>
  <c r="N7" i="15" s="1"/>
  <c r="O7" i="15" s="1"/>
  <c r="P7" i="15" s="1"/>
  <c r="H3" i="15"/>
  <c r="I3" i="15" s="1"/>
  <c r="J3" i="15" s="1"/>
  <c r="K3" i="15" s="1"/>
  <c r="L3" i="15" s="1"/>
  <c r="M3" i="15" s="1"/>
  <c r="N3" i="15" s="1"/>
  <c r="O3" i="15" s="1"/>
  <c r="P3" i="15" s="1"/>
  <c r="F24" i="13"/>
  <c r="H19" i="13" l="1"/>
  <c r="G24" i="13"/>
  <c r="G17" i="8"/>
  <c r="P14" i="13"/>
  <c r="O14" i="13"/>
  <c r="N14" i="13"/>
  <c r="M14" i="13"/>
  <c r="L14" i="13"/>
  <c r="K14" i="13"/>
  <c r="J14" i="13"/>
  <c r="I14" i="13"/>
  <c r="H14" i="13"/>
  <c r="G14" i="13"/>
  <c r="F13" i="13"/>
  <c r="H3" i="13"/>
  <c r="I3" i="13" s="1"/>
  <c r="J3" i="13" s="1"/>
  <c r="K3" i="13" s="1"/>
  <c r="L3" i="13" s="1"/>
  <c r="M3" i="13" s="1"/>
  <c r="N3" i="13" s="1"/>
  <c r="O3" i="13" s="1"/>
  <c r="P3" i="13" s="1"/>
  <c r="H3" i="12"/>
  <c r="I3" i="12" s="1"/>
  <c r="J3" i="12" s="1"/>
  <c r="K3" i="12" s="1"/>
  <c r="L3" i="12" s="1"/>
  <c r="M3" i="12" s="1"/>
  <c r="N3" i="12" s="1"/>
  <c r="O3" i="12" s="1"/>
  <c r="P3" i="12" s="1"/>
  <c r="I69" i="5"/>
  <c r="J69" i="5" s="1"/>
  <c r="K69" i="5" s="1"/>
  <c r="L69" i="5" s="1"/>
  <c r="M69" i="5" s="1"/>
  <c r="N69" i="5" s="1"/>
  <c r="O69" i="5" s="1"/>
  <c r="P69" i="5" s="1"/>
  <c r="H69" i="5"/>
  <c r="I67" i="5"/>
  <c r="J67" i="5" s="1"/>
  <c r="K67" i="5" s="1"/>
  <c r="L67" i="5" s="1"/>
  <c r="M67" i="5" s="1"/>
  <c r="N67" i="5" s="1"/>
  <c r="O67" i="5" s="1"/>
  <c r="P67" i="5" s="1"/>
  <c r="H67" i="5"/>
  <c r="G78" i="5"/>
  <c r="G11" i="12" s="1"/>
  <c r="H68" i="5"/>
  <c r="I68" i="5" s="1"/>
  <c r="J68" i="5" s="1"/>
  <c r="K68" i="5" s="1"/>
  <c r="L68" i="5" s="1"/>
  <c r="M68" i="5" s="1"/>
  <c r="N68" i="5" s="1"/>
  <c r="O68" i="5" s="1"/>
  <c r="P68" i="5" s="1"/>
  <c r="G64" i="5"/>
  <c r="G63" i="5"/>
  <c r="G77" i="5" s="1"/>
  <c r="G10" i="12" s="1"/>
  <c r="G62" i="5"/>
  <c r="G76" i="5" s="1"/>
  <c r="G9" i="12" s="1"/>
  <c r="G61" i="5"/>
  <c r="G75" i="5" s="1"/>
  <c r="G46" i="5"/>
  <c r="G45" i="5"/>
  <c r="G44" i="5"/>
  <c r="G43" i="5"/>
  <c r="G39" i="5"/>
  <c r="G38" i="5"/>
  <c r="G37" i="5"/>
  <c r="G36" i="5"/>
  <c r="G35" i="5"/>
  <c r="G42" i="5"/>
  <c r="G32" i="5"/>
  <c r="G31" i="5"/>
  <c r="G30" i="5"/>
  <c r="G29" i="5"/>
  <c r="G28" i="5"/>
  <c r="G25" i="5"/>
  <c r="G24" i="5"/>
  <c r="G23" i="5"/>
  <c r="G22" i="5"/>
  <c r="G21" i="5"/>
  <c r="G13" i="5"/>
  <c r="G9" i="5"/>
  <c r="I4" i="4"/>
  <c r="J4" i="4" s="1"/>
  <c r="K4" i="4" s="1"/>
  <c r="L4" i="4" s="1"/>
  <c r="M4" i="4" s="1"/>
  <c r="N4" i="4" s="1"/>
  <c r="O4" i="4" s="1"/>
  <c r="P4" i="4" s="1"/>
  <c r="Q4" i="4" s="1"/>
  <c r="R4" i="4" s="1"/>
  <c r="S4" i="4" s="1"/>
  <c r="P14" i="5"/>
  <c r="O14" i="5"/>
  <c r="N14" i="5"/>
  <c r="M14" i="5"/>
  <c r="L14" i="5"/>
  <c r="K14" i="5"/>
  <c r="J14" i="5"/>
  <c r="I14" i="5"/>
  <c r="H14" i="5"/>
  <c r="H34" i="5" s="1"/>
  <c r="H63" i="5" s="1"/>
  <c r="G8" i="12" l="1"/>
  <c r="G12" i="12" s="1"/>
  <c r="G14" i="12" s="1"/>
  <c r="G16" i="12" s="1"/>
  <c r="G32" i="12" s="1"/>
  <c r="G8" i="8" s="1"/>
  <c r="G79" i="5"/>
  <c r="I19" i="13"/>
  <c r="H24" i="13"/>
  <c r="H17" i="8"/>
  <c r="G13" i="13"/>
  <c r="H77" i="5"/>
  <c r="H10" i="12" s="1"/>
  <c r="H27" i="5"/>
  <c r="H20" i="5"/>
  <c r="H41" i="5"/>
  <c r="I34" i="5"/>
  <c r="H35" i="5"/>
  <c r="H36" i="5" s="1"/>
  <c r="H37" i="5" s="1"/>
  <c r="H38" i="5" s="1"/>
  <c r="H39" i="5" s="1"/>
  <c r="P32" i="8"/>
  <c r="O32" i="8"/>
  <c r="N32" i="8"/>
  <c r="M32" i="8"/>
  <c r="L32" i="8"/>
  <c r="K32" i="8"/>
  <c r="J32" i="8"/>
  <c r="I32" i="8"/>
  <c r="H32" i="8"/>
  <c r="G32" i="8"/>
  <c r="F32" i="8"/>
  <c r="E32" i="8"/>
  <c r="G16" i="8"/>
  <c r="E16" i="8"/>
  <c r="E23" i="8" s="1"/>
  <c r="E30" i="8" s="1"/>
  <c r="F16" i="8"/>
  <c r="F23" i="8" s="1"/>
  <c r="F30" i="8" s="1"/>
  <c r="G31" i="12" l="1"/>
  <c r="G7" i="8" s="1"/>
  <c r="G25" i="13"/>
  <c r="G6" i="15" s="1"/>
  <c r="J19" i="13"/>
  <c r="I17" i="8"/>
  <c r="I24" i="13"/>
  <c r="G6" i="8"/>
  <c r="H13" i="13"/>
  <c r="I13" i="13" s="1"/>
  <c r="G13" i="8"/>
  <c r="G12" i="8"/>
  <c r="I63" i="5"/>
  <c r="I77" i="5" s="1"/>
  <c r="I10" i="12" s="1"/>
  <c r="H64" i="5"/>
  <c r="I27" i="5"/>
  <c r="H62" i="5"/>
  <c r="H76" i="5" s="1"/>
  <c r="H9" i="12" s="1"/>
  <c r="H21" i="5"/>
  <c r="H22" i="5" s="1"/>
  <c r="H61" i="5"/>
  <c r="I41" i="5"/>
  <c r="H58" i="5"/>
  <c r="H28" i="5"/>
  <c r="H29" i="5" s="1"/>
  <c r="H30" i="5" s="1"/>
  <c r="H31" i="5" s="1"/>
  <c r="H32" i="5" s="1"/>
  <c r="H42" i="5"/>
  <c r="H43" i="5" s="1"/>
  <c r="H44" i="5" s="1"/>
  <c r="H45" i="5" s="1"/>
  <c r="H46" i="5" s="1"/>
  <c r="I20" i="5"/>
  <c r="J34" i="5"/>
  <c r="I35" i="5"/>
  <c r="I36" i="5" s="1"/>
  <c r="I37" i="5" s="1"/>
  <c r="I38" i="5" s="1"/>
  <c r="I39" i="5" s="1"/>
  <c r="E33" i="8"/>
  <c r="E34" i="8" s="1"/>
  <c r="F33" i="8"/>
  <c r="F31" i="8"/>
  <c r="E31" i="8"/>
  <c r="J24" i="13" l="1"/>
  <c r="J17" i="8"/>
  <c r="H23" i="5"/>
  <c r="H24" i="5" s="1"/>
  <c r="H25" i="5" s="1"/>
  <c r="G11" i="8"/>
  <c r="J13" i="13"/>
  <c r="H78" i="5"/>
  <c r="H11" i="12" s="1"/>
  <c r="J27" i="5"/>
  <c r="K27" i="5" s="1"/>
  <c r="L27" i="5" s="1"/>
  <c r="J63" i="5"/>
  <c r="J77" i="5" s="1"/>
  <c r="J10" i="12" s="1"/>
  <c r="J41" i="5"/>
  <c r="I64" i="5"/>
  <c r="I21" i="5"/>
  <c r="I22" i="5" s="1"/>
  <c r="I23" i="5" s="1"/>
  <c r="I24" i="5" s="1"/>
  <c r="I25" i="5" s="1"/>
  <c r="I61" i="5"/>
  <c r="I28" i="5"/>
  <c r="I29" i="5" s="1"/>
  <c r="I30" i="5" s="1"/>
  <c r="I31" i="5" s="1"/>
  <c r="I32" i="5" s="1"/>
  <c r="I62" i="5"/>
  <c r="I76" i="5" s="1"/>
  <c r="I9" i="12" s="1"/>
  <c r="I42" i="5"/>
  <c r="I43" i="5" s="1"/>
  <c r="I44" i="5" s="1"/>
  <c r="I45" i="5" s="1"/>
  <c r="I46" i="5" s="1"/>
  <c r="I58" i="5"/>
  <c r="J20" i="5"/>
  <c r="K34" i="5"/>
  <c r="J35" i="5"/>
  <c r="J36" i="5" s="1"/>
  <c r="J37" i="5" s="1"/>
  <c r="J38" i="5" s="1"/>
  <c r="J39" i="5" s="1"/>
  <c r="F34" i="8"/>
  <c r="K13" i="13" l="1"/>
  <c r="I78" i="5"/>
  <c r="I11" i="12" s="1"/>
  <c r="J28" i="5"/>
  <c r="J29" i="5" s="1"/>
  <c r="J30" i="5" s="1"/>
  <c r="J31" i="5" s="1"/>
  <c r="J32" i="5" s="1"/>
  <c r="J62" i="5"/>
  <c r="J76" i="5" s="1"/>
  <c r="J9" i="12" s="1"/>
  <c r="L62" i="5"/>
  <c r="L76" i="5" s="1"/>
  <c r="L9" i="12" s="1"/>
  <c r="J64" i="5"/>
  <c r="K63" i="5"/>
  <c r="K77" i="5" s="1"/>
  <c r="K10" i="12" s="1"/>
  <c r="K28" i="5"/>
  <c r="K29" i="5" s="1"/>
  <c r="K30" i="5" s="1"/>
  <c r="K31" i="5" s="1"/>
  <c r="K32" i="5" s="1"/>
  <c r="J61" i="5"/>
  <c r="K62" i="5"/>
  <c r="K76" i="5" s="1"/>
  <c r="K9" i="12" s="1"/>
  <c r="K41" i="5"/>
  <c r="J42" i="5"/>
  <c r="J43" i="5" s="1"/>
  <c r="J44" i="5" s="1"/>
  <c r="J45" i="5" s="1"/>
  <c r="J46" i="5" s="1"/>
  <c r="J58" i="5"/>
  <c r="J21" i="5"/>
  <c r="J22" i="5" s="1"/>
  <c r="J23" i="5" s="1"/>
  <c r="J24" i="5" s="1"/>
  <c r="J25" i="5" s="1"/>
  <c r="P55" i="5"/>
  <c r="H55" i="5" s="1"/>
  <c r="K20" i="5"/>
  <c r="L34" i="5"/>
  <c r="K35" i="5"/>
  <c r="K36" i="5" s="1"/>
  <c r="K37" i="5" s="1"/>
  <c r="K38" i="5" s="1"/>
  <c r="K39" i="5" s="1"/>
  <c r="M27" i="5"/>
  <c r="L28" i="5"/>
  <c r="L29" i="5" s="1"/>
  <c r="L30" i="5" s="1"/>
  <c r="L31" i="5" s="1"/>
  <c r="L32" i="5" s="1"/>
  <c r="L13" i="13" l="1"/>
  <c r="J78" i="5"/>
  <c r="J11" i="12" s="1"/>
  <c r="L63" i="5"/>
  <c r="L77" i="5" s="1"/>
  <c r="L10" i="12" s="1"/>
  <c r="M62" i="5"/>
  <c r="M76" i="5" s="1"/>
  <c r="M9" i="12" s="1"/>
  <c r="K42" i="5"/>
  <c r="K43" i="5" s="1"/>
  <c r="K44" i="5" s="1"/>
  <c r="K45" i="5" s="1"/>
  <c r="K46" i="5" s="1"/>
  <c r="I55" i="5"/>
  <c r="H75" i="5"/>
  <c r="K21" i="5"/>
  <c r="K22" i="5" s="1"/>
  <c r="K23" i="5" s="1"/>
  <c r="K24" i="5" s="1"/>
  <c r="K25" i="5" s="1"/>
  <c r="K61" i="5"/>
  <c r="K58" i="5"/>
  <c r="K64" i="5"/>
  <c r="L41" i="5"/>
  <c r="L20" i="5"/>
  <c r="N27" i="5"/>
  <c r="M28" i="5"/>
  <c r="M29" i="5" s="1"/>
  <c r="M30" i="5" s="1"/>
  <c r="M31" i="5" s="1"/>
  <c r="M32" i="5" s="1"/>
  <c r="M34" i="5"/>
  <c r="L35" i="5"/>
  <c r="L36" i="5" s="1"/>
  <c r="L37" i="5" s="1"/>
  <c r="L38" i="5" s="1"/>
  <c r="L39" i="5" s="1"/>
  <c r="M13" i="13" l="1"/>
  <c r="H79" i="5"/>
  <c r="H8" i="12"/>
  <c r="H12" i="12" s="1"/>
  <c r="K78" i="5"/>
  <c r="K11" i="12" s="1"/>
  <c r="M63" i="5"/>
  <c r="M77" i="5" s="1"/>
  <c r="M10" i="12" s="1"/>
  <c r="N62" i="5"/>
  <c r="N76" i="5" s="1"/>
  <c r="N9" i="12" s="1"/>
  <c r="J55" i="5"/>
  <c r="I75" i="5"/>
  <c r="L42" i="5"/>
  <c r="L43" i="5" s="1"/>
  <c r="L44" i="5" s="1"/>
  <c r="L45" i="5" s="1"/>
  <c r="L46" i="5" s="1"/>
  <c r="M41" i="5"/>
  <c r="L21" i="5"/>
  <c r="L22" i="5" s="1"/>
  <c r="L23" i="5" s="1"/>
  <c r="L24" i="5" s="1"/>
  <c r="L25" i="5" s="1"/>
  <c r="L61" i="5"/>
  <c r="L58" i="5"/>
  <c r="L78" i="5" s="1"/>
  <c r="L11" i="12" s="1"/>
  <c r="L64" i="5"/>
  <c r="M20" i="5"/>
  <c r="N34" i="5"/>
  <c r="M35" i="5"/>
  <c r="M36" i="5" s="1"/>
  <c r="M37" i="5" s="1"/>
  <c r="M38" i="5" s="1"/>
  <c r="M39" i="5" s="1"/>
  <c r="O27" i="5"/>
  <c r="N28" i="5"/>
  <c r="N29" i="5" s="1"/>
  <c r="N30" i="5" s="1"/>
  <c r="N31" i="5" s="1"/>
  <c r="N32" i="5" s="1"/>
  <c r="N13" i="13" l="1"/>
  <c r="H14" i="12"/>
  <c r="H16" i="12" s="1"/>
  <c r="I79" i="5"/>
  <c r="I8" i="12"/>
  <c r="I12" i="12" s="1"/>
  <c r="M58" i="5"/>
  <c r="O62" i="5"/>
  <c r="O76" i="5" s="1"/>
  <c r="O9" i="12" s="1"/>
  <c r="M42" i="5"/>
  <c r="M43" i="5" s="1"/>
  <c r="M44" i="5" s="1"/>
  <c r="M45" i="5" s="1"/>
  <c r="M46" i="5" s="1"/>
  <c r="K55" i="5"/>
  <c r="J75" i="5"/>
  <c r="N63" i="5"/>
  <c r="N77" i="5" s="1"/>
  <c r="N10" i="12" s="1"/>
  <c r="N41" i="5"/>
  <c r="N58" i="5" s="1"/>
  <c r="M64" i="5"/>
  <c r="N20" i="5"/>
  <c r="M61" i="5"/>
  <c r="M21" i="5"/>
  <c r="M22" i="5" s="1"/>
  <c r="M23" i="5" s="1"/>
  <c r="M24" i="5" s="1"/>
  <c r="M25" i="5" s="1"/>
  <c r="P27" i="5"/>
  <c r="O28" i="5"/>
  <c r="O29" i="5" s="1"/>
  <c r="O30" i="5" s="1"/>
  <c r="O31" i="5" s="1"/>
  <c r="O32" i="5" s="1"/>
  <c r="O34" i="5"/>
  <c r="N35" i="5"/>
  <c r="N36" i="5" s="1"/>
  <c r="N37" i="5" s="1"/>
  <c r="N38" i="5" s="1"/>
  <c r="N39" i="5" s="1"/>
  <c r="H32" i="12" l="1"/>
  <c r="H8" i="8" s="1"/>
  <c r="H31" i="12"/>
  <c r="H12" i="8"/>
  <c r="H13" i="8"/>
  <c r="H25" i="13"/>
  <c r="H6" i="15" s="1"/>
  <c r="H7" i="8"/>
  <c r="O13" i="13"/>
  <c r="I14" i="12"/>
  <c r="I16" i="12" s="1"/>
  <c r="J79" i="5"/>
  <c r="J8" i="12"/>
  <c r="J12" i="12" s="1"/>
  <c r="J14" i="12" s="1"/>
  <c r="J16" i="12" s="1"/>
  <c r="M78" i="5"/>
  <c r="M11" i="12" s="1"/>
  <c r="N64" i="5"/>
  <c r="L55" i="5"/>
  <c r="K75" i="5"/>
  <c r="N61" i="5"/>
  <c r="O63" i="5"/>
  <c r="O77" i="5" s="1"/>
  <c r="O10" i="12" s="1"/>
  <c r="N42" i="5"/>
  <c r="N43" i="5" s="1"/>
  <c r="N44" i="5" s="1"/>
  <c r="N45" i="5" s="1"/>
  <c r="N46" i="5" s="1"/>
  <c r="N78" i="5"/>
  <c r="N11" i="12" s="1"/>
  <c r="O41" i="5"/>
  <c r="O20" i="5"/>
  <c r="O21" i="5" s="1"/>
  <c r="O22" i="5" s="1"/>
  <c r="O23" i="5" s="1"/>
  <c r="O24" i="5" s="1"/>
  <c r="O25" i="5" s="1"/>
  <c r="N21" i="5"/>
  <c r="N22" i="5" s="1"/>
  <c r="N23" i="5" s="1"/>
  <c r="N24" i="5" s="1"/>
  <c r="N25" i="5" s="1"/>
  <c r="P28" i="5"/>
  <c r="P29" i="5" s="1"/>
  <c r="P30" i="5" s="1"/>
  <c r="P31" i="5" s="1"/>
  <c r="P32" i="5" s="1"/>
  <c r="P62" i="5"/>
  <c r="P76" i="5" s="1"/>
  <c r="P9" i="12" s="1"/>
  <c r="P34" i="5"/>
  <c r="O35" i="5"/>
  <c r="O36" i="5" s="1"/>
  <c r="O37" i="5" s="1"/>
  <c r="O38" i="5" s="1"/>
  <c r="O39" i="5" s="1"/>
  <c r="I32" i="12" l="1"/>
  <c r="I8" i="8" s="1"/>
  <c r="I31" i="12"/>
  <c r="I13" i="8"/>
  <c r="I12" i="8"/>
  <c r="J31" i="12"/>
  <c r="J32" i="12"/>
  <c r="J8" i="8" s="1"/>
  <c r="J12" i="8"/>
  <c r="J13" i="8"/>
  <c r="O12" i="8"/>
  <c r="O13" i="8"/>
  <c r="H11" i="8"/>
  <c r="J25" i="13"/>
  <c r="J6" i="15" s="1"/>
  <c r="J7" i="8"/>
  <c r="I25" i="13"/>
  <c r="I6" i="15" s="1"/>
  <c r="I7" i="8"/>
  <c r="P13" i="13"/>
  <c r="K79" i="5"/>
  <c r="K8" i="12"/>
  <c r="K12" i="12" s="1"/>
  <c r="O61" i="5"/>
  <c r="P20" i="5"/>
  <c r="P61" i="5" s="1"/>
  <c r="O64" i="5"/>
  <c r="O58" i="5"/>
  <c r="M55" i="5"/>
  <c r="L75" i="5"/>
  <c r="O42" i="5"/>
  <c r="O43" i="5" s="1"/>
  <c r="O44" i="5" s="1"/>
  <c r="O45" i="5" s="1"/>
  <c r="O46" i="5" s="1"/>
  <c r="P41" i="5"/>
  <c r="P64" i="5" s="1"/>
  <c r="P35" i="5"/>
  <c r="P36" i="5" s="1"/>
  <c r="P37" i="5" s="1"/>
  <c r="P38" i="5" s="1"/>
  <c r="P39" i="5" s="1"/>
  <c r="P63" i="5"/>
  <c r="P77" i="5" s="1"/>
  <c r="P10" i="12" s="1"/>
  <c r="H3" i="8"/>
  <c r="I3" i="8" s="1"/>
  <c r="J3" i="8" s="1"/>
  <c r="K3" i="8" s="1"/>
  <c r="L3" i="8" s="1"/>
  <c r="M3" i="8" s="1"/>
  <c r="N3" i="8" s="1"/>
  <c r="O3" i="8" s="1"/>
  <c r="P3" i="8" s="1"/>
  <c r="H12" i="5"/>
  <c r="I12" i="5" s="1"/>
  <c r="J12" i="5" s="1"/>
  <c r="K12" i="5" s="1"/>
  <c r="L12" i="5" s="1"/>
  <c r="M12" i="5" s="1"/>
  <c r="N12" i="5" s="1"/>
  <c r="O12" i="5" s="1"/>
  <c r="P12" i="5" s="1"/>
  <c r="P10" i="5"/>
  <c r="O10" i="5"/>
  <c r="N10" i="5"/>
  <c r="M10" i="5"/>
  <c r="L10" i="5"/>
  <c r="K10" i="5"/>
  <c r="J10" i="5"/>
  <c r="I10" i="5"/>
  <c r="H10" i="5"/>
  <c r="I8" i="5" s="1"/>
  <c r="H3" i="6"/>
  <c r="I3" i="6" s="1"/>
  <c r="J3" i="6" s="1"/>
  <c r="K3" i="6" s="1"/>
  <c r="L3" i="6" s="1"/>
  <c r="M3" i="6" s="1"/>
  <c r="N3" i="6" s="1"/>
  <c r="O3" i="6" s="1"/>
  <c r="P3" i="6" s="1"/>
  <c r="H3" i="5"/>
  <c r="I3" i="5" s="1"/>
  <c r="J3" i="5" s="1"/>
  <c r="K3" i="5" s="1"/>
  <c r="L3" i="5" s="1"/>
  <c r="M3" i="5" s="1"/>
  <c r="N3" i="5" s="1"/>
  <c r="O3" i="5" s="1"/>
  <c r="P3" i="5" s="1"/>
  <c r="H3" i="4"/>
  <c r="I3" i="4" s="1"/>
  <c r="J3" i="4" s="1"/>
  <c r="K3" i="4" s="1"/>
  <c r="L3" i="4" s="1"/>
  <c r="M3" i="4" s="1"/>
  <c r="N3" i="4" s="1"/>
  <c r="O3" i="4" s="1"/>
  <c r="P3" i="4" s="1"/>
  <c r="P21" i="5" l="1"/>
  <c r="P22" i="5" s="1"/>
  <c r="P23" i="5" s="1"/>
  <c r="P24" i="5" s="1"/>
  <c r="P25" i="5" s="1"/>
  <c r="P12" i="8"/>
  <c r="P13" i="8"/>
  <c r="O11" i="8"/>
  <c r="J11" i="8"/>
  <c r="I11" i="8"/>
  <c r="K14" i="12"/>
  <c r="O78" i="5"/>
  <c r="O11" i="12" s="1"/>
  <c r="L79" i="5"/>
  <c r="L8" i="12"/>
  <c r="L12" i="12" s="1"/>
  <c r="N55" i="5"/>
  <c r="M75" i="5"/>
  <c r="P58" i="5"/>
  <c r="P78" i="5" s="1"/>
  <c r="P11" i="12" s="1"/>
  <c r="P75" i="5"/>
  <c r="P8" i="12" s="1"/>
  <c r="P42" i="5"/>
  <c r="P43" i="5" s="1"/>
  <c r="P44" i="5" s="1"/>
  <c r="P45" i="5" s="1"/>
  <c r="P46" i="5" s="1"/>
  <c r="J8" i="5"/>
  <c r="K8" i="5" s="1"/>
  <c r="L8" i="5" s="1"/>
  <c r="M8" i="5" s="1"/>
  <c r="N8" i="5" s="1"/>
  <c r="O8" i="5" s="1"/>
  <c r="P8" i="5" s="1"/>
  <c r="H16" i="8"/>
  <c r="H23" i="8" s="1"/>
  <c r="H30" i="8" s="1"/>
  <c r="K16" i="12" l="1"/>
  <c r="K29" i="6"/>
  <c r="K19" i="13" s="1"/>
  <c r="P11" i="8"/>
  <c r="L14" i="12"/>
  <c r="P12" i="12"/>
  <c r="P14" i="12" s="1"/>
  <c r="M79" i="5"/>
  <c r="M8" i="12"/>
  <c r="M12" i="12" s="1"/>
  <c r="M14" i="12" s="1"/>
  <c r="P79" i="5"/>
  <c r="O55" i="5"/>
  <c r="O75" i="5" s="1"/>
  <c r="N75" i="5"/>
  <c r="H33" i="8"/>
  <c r="I16" i="8"/>
  <c r="L16" i="12" l="1"/>
  <c r="L29" i="6"/>
  <c r="L19" i="13" s="1"/>
  <c r="M16" i="12"/>
  <c r="M29" i="6"/>
  <c r="K24" i="13"/>
  <c r="K25" i="13" s="1"/>
  <c r="K6" i="15" s="1"/>
  <c r="K17" i="8"/>
  <c r="K32" i="12"/>
  <c r="K8" i="8" s="1"/>
  <c r="K31" i="12"/>
  <c r="K7" i="8" s="1"/>
  <c r="K12" i="8"/>
  <c r="K13" i="8"/>
  <c r="N79" i="5"/>
  <c r="N8" i="12"/>
  <c r="N12" i="12" s="1"/>
  <c r="O79" i="5"/>
  <c r="O8" i="12"/>
  <c r="O12" i="12" s="1"/>
  <c r="O14" i="12" s="1"/>
  <c r="G23" i="8"/>
  <c r="G30" i="8" s="1"/>
  <c r="G33" i="8" s="1"/>
  <c r="I23" i="8"/>
  <c r="I30" i="8" s="1"/>
  <c r="J16" i="8"/>
  <c r="K11" i="8" l="1"/>
  <c r="M19" i="13"/>
  <c r="L17" i="8"/>
  <c r="L24" i="13"/>
  <c r="L25" i="13" s="1"/>
  <c r="L6" i="15" s="1"/>
  <c r="M32" i="12"/>
  <c r="M8" i="8" s="1"/>
  <c r="M31" i="12"/>
  <c r="M7" i="8" s="1"/>
  <c r="M12" i="8"/>
  <c r="M13" i="8"/>
  <c r="L32" i="12"/>
  <c r="L8" i="8" s="1"/>
  <c r="L31" i="12"/>
  <c r="L7" i="8" s="1"/>
  <c r="L13" i="8"/>
  <c r="L12" i="8"/>
  <c r="N14" i="12"/>
  <c r="O29" i="6" s="1"/>
  <c r="I33" i="8"/>
  <c r="I34" i="8" s="1"/>
  <c r="I31" i="8"/>
  <c r="G34" i="8"/>
  <c r="H34" i="8"/>
  <c r="G31" i="8"/>
  <c r="H31" i="8"/>
  <c r="K16" i="8"/>
  <c r="J23" i="8"/>
  <c r="J30" i="8" s="1"/>
  <c r="M11" i="8" l="1"/>
  <c r="L11" i="8"/>
  <c r="N16" i="12"/>
  <c r="N29" i="6"/>
  <c r="N19" i="13" s="1"/>
  <c r="M24" i="13"/>
  <c r="M25" i="13" s="1"/>
  <c r="M6" i="15" s="1"/>
  <c r="M17" i="8"/>
  <c r="J31" i="8"/>
  <c r="J33" i="8"/>
  <c r="K23" i="8"/>
  <c r="K30" i="8" s="1"/>
  <c r="L16" i="8"/>
  <c r="O19" i="13" l="1"/>
  <c r="N24" i="13"/>
  <c r="N25" i="13" s="1"/>
  <c r="N6" i="15" s="1"/>
  <c r="N17" i="8"/>
  <c r="N31" i="12"/>
  <c r="N7" i="8" s="1"/>
  <c r="N32" i="12"/>
  <c r="N8" i="8" s="1"/>
  <c r="N13" i="8"/>
  <c r="N12" i="8"/>
  <c r="K31" i="8"/>
  <c r="K33" i="8"/>
  <c r="K34" i="8" s="1"/>
  <c r="J34" i="8"/>
  <c r="M16" i="8"/>
  <c r="L23" i="8"/>
  <c r="L30" i="8" s="1"/>
  <c r="N11" i="8" l="1"/>
  <c r="P19" i="13"/>
  <c r="O17" i="8"/>
  <c r="O24" i="13"/>
  <c r="O25" i="13" s="1"/>
  <c r="O6" i="15" s="1"/>
  <c r="L33" i="8"/>
  <c r="L34" i="8" s="1"/>
  <c r="L31" i="8"/>
  <c r="M23" i="8"/>
  <c r="M30" i="8" s="1"/>
  <c r="M33" i="8" s="1"/>
  <c r="N16" i="8"/>
  <c r="P17" i="8" l="1"/>
  <c r="P16" i="8" s="1"/>
  <c r="P24" i="13"/>
  <c r="P25" i="13" s="1"/>
  <c r="P6" i="15" s="1"/>
  <c r="M34" i="8"/>
  <c r="M31" i="8"/>
  <c r="N23" i="8"/>
  <c r="N30" i="8" s="1"/>
  <c r="N33" i="8" s="1"/>
  <c r="N34" i="8" s="1"/>
  <c r="O16" i="8"/>
  <c r="N31" i="8" l="1"/>
  <c r="P23" i="8"/>
  <c r="P30" i="8" s="1"/>
  <c r="O23" i="8"/>
  <c r="O30" i="8" s="1"/>
  <c r="O33" i="8" l="1"/>
  <c r="O34" i="8" s="1"/>
  <c r="O31" i="8"/>
  <c r="E39" i="8"/>
  <c r="P31" i="8"/>
  <c r="P33" i="8"/>
  <c r="E40" i="8" l="1" a="1"/>
  <c r="E40" i="8" s="1"/>
  <c r="E41" i="8"/>
  <c r="P34" i="8"/>
  <c r="E38" i="8"/>
  <c r="E36" i="8"/>
</calcChain>
</file>

<file path=xl/sharedStrings.xml><?xml version="1.0" encoding="utf-8"?>
<sst xmlns="http://schemas.openxmlformats.org/spreadsheetml/2006/main" count="437" uniqueCount="133">
  <si>
    <t>Доходы</t>
  </si>
  <si>
    <t>год-&gt;</t>
  </si>
  <si>
    <t>Единицы</t>
  </si>
  <si>
    <t>Строка</t>
  </si>
  <si>
    <t>Cashflow</t>
  </si>
  <si>
    <t>млн долл.</t>
  </si>
  <si>
    <t>…</t>
  </si>
  <si>
    <t>CPI</t>
  </si>
  <si>
    <t>UAH/ USD</t>
  </si>
  <si>
    <t>%</t>
  </si>
  <si>
    <t>ед.</t>
  </si>
  <si>
    <t>Население</t>
  </si>
  <si>
    <t>млн чел.</t>
  </si>
  <si>
    <t>Налог на прибыль</t>
  </si>
  <si>
    <t>НДС</t>
  </si>
  <si>
    <t>Рынок ДЗЗ, всего</t>
  </si>
  <si>
    <t>Рынок радарных данных</t>
  </si>
  <si>
    <t>млн кв.км.</t>
  </si>
  <si>
    <t>Рынок</t>
  </si>
  <si>
    <t>США</t>
  </si>
  <si>
    <t>Европа</t>
  </si>
  <si>
    <t>Китай</t>
  </si>
  <si>
    <t>Локальный</t>
  </si>
  <si>
    <t>Военные</t>
  </si>
  <si>
    <t>Агро</t>
  </si>
  <si>
    <t>Фонды</t>
  </si>
  <si>
    <t>Банки/ страховые</t>
  </si>
  <si>
    <t>Динамика</t>
  </si>
  <si>
    <t>Россия</t>
  </si>
  <si>
    <t>Макро параметры</t>
  </si>
  <si>
    <t>Допущения</t>
  </si>
  <si>
    <t>Доля рынка</t>
  </si>
  <si>
    <t>Финансирование</t>
  </si>
  <si>
    <t>Рост рынков</t>
  </si>
  <si>
    <t>ДЗЗ всего</t>
  </si>
  <si>
    <t>Радар</t>
  </si>
  <si>
    <t>check</t>
  </si>
  <si>
    <t>Зарплата</t>
  </si>
  <si>
    <t>Аренда</t>
  </si>
  <si>
    <t>Обслуживание, ремонт</t>
  </si>
  <si>
    <t>Продажи, всего</t>
  </si>
  <si>
    <t>FCF</t>
  </si>
  <si>
    <t>Налоги</t>
  </si>
  <si>
    <t>Переменные расходы</t>
  </si>
  <si>
    <t>Сегмент 1</t>
  </si>
  <si>
    <t>Сегмент 2</t>
  </si>
  <si>
    <t>Постоянные расходы</t>
  </si>
  <si>
    <t>Проценты</t>
  </si>
  <si>
    <t>Ставка дисконтирования</t>
  </si>
  <si>
    <t>NPV</t>
  </si>
  <si>
    <t>IRR</t>
  </si>
  <si>
    <t>Ставка кредита</t>
  </si>
  <si>
    <t>FCF, накопительно</t>
  </si>
  <si>
    <t>CAPEX</t>
  </si>
  <si>
    <t>Маркетинг</t>
  </si>
  <si>
    <t>DCF</t>
  </si>
  <si>
    <t>DCF, накопительно</t>
  </si>
  <si>
    <t>период</t>
  </si>
  <si>
    <t>Payback (undiscounted)</t>
  </si>
  <si>
    <t>Terminal value</t>
  </si>
  <si>
    <t>-справочно</t>
  </si>
  <si>
    <t>-упрощенно, не исчерпывающий список</t>
  </si>
  <si>
    <t>Прочее</t>
  </si>
  <si>
    <t>Цена</t>
  </si>
  <si>
    <t>долл/ кв.км</t>
  </si>
  <si>
    <t>долл/сцена</t>
  </si>
  <si>
    <t>Среднее изменение цены</t>
  </si>
  <si>
    <t>Радарные</t>
  </si>
  <si>
    <t>Потребители</t>
  </si>
  <si>
    <t>Поставщики</t>
  </si>
  <si>
    <t>Поставщик 1</t>
  </si>
  <si>
    <t>Баланс</t>
  </si>
  <si>
    <t>Поставщик 2</t>
  </si>
  <si>
    <t>Поставщик 3</t>
  </si>
  <si>
    <r>
      <t xml:space="preserve">Поток от операционной деятельности </t>
    </r>
    <r>
      <rPr>
        <b/>
        <sz val="11"/>
        <color theme="1"/>
        <rFont val="Calibri"/>
        <family val="2"/>
        <scheme val="minor"/>
      </rPr>
      <t>(~EBITDA)</t>
    </r>
  </si>
  <si>
    <t>Всего</t>
  </si>
  <si>
    <t>Себестоимость</t>
  </si>
  <si>
    <t>Прямые затраты (переменные)</t>
  </si>
  <si>
    <t>Статья 4</t>
  </si>
  <si>
    <t>Статья …</t>
  </si>
  <si>
    <t>Динамика экономии</t>
  </si>
  <si>
    <t>Затраты</t>
  </si>
  <si>
    <t>Экономия на масштабе</t>
  </si>
  <si>
    <t>Постоянные затраты</t>
  </si>
  <si>
    <t>долл/кв.км</t>
  </si>
  <si>
    <t>Доля новых игроков</t>
  </si>
  <si>
    <t>Новые игроки (конкуренты)</t>
  </si>
  <si>
    <t>Потенциал рынок</t>
  </si>
  <si>
    <t>Доступная часть</t>
  </si>
  <si>
    <t>Сегменты рынка</t>
  </si>
  <si>
    <t>….</t>
  </si>
  <si>
    <t>Кост+</t>
  </si>
  <si>
    <t>Норма прибыльности</t>
  </si>
  <si>
    <t>По сегментам</t>
  </si>
  <si>
    <t>-упрощенно, не коррелирует с оп.потоком, не учитывает налоговые щиты</t>
  </si>
  <si>
    <t>Сырье 1</t>
  </si>
  <si>
    <t>Сырье 2</t>
  </si>
  <si>
    <t>Распредление объемов</t>
  </si>
  <si>
    <t>-Должна быть ссылка на КАПЕКС</t>
  </si>
  <si>
    <t>Позиция</t>
  </si>
  <si>
    <t>Штатка</t>
  </si>
  <si>
    <t>ЗП</t>
  </si>
  <si>
    <t>Кол-во</t>
  </si>
  <si>
    <t>Итого</t>
  </si>
  <si>
    <t>HR</t>
  </si>
  <si>
    <t>CFO</t>
  </si>
  <si>
    <t>Базовый год</t>
  </si>
  <si>
    <t>Рост ЗП</t>
  </si>
  <si>
    <t>Не произодственные</t>
  </si>
  <si>
    <t>Max.exposure</t>
  </si>
  <si>
    <t>Total CAPEX</t>
  </si>
  <si>
    <t>Денежный поток</t>
  </si>
  <si>
    <t>CEO</t>
  </si>
  <si>
    <t>CSO</t>
  </si>
  <si>
    <t>CMO</t>
  </si>
  <si>
    <t>CAO</t>
  </si>
  <si>
    <t>CCO</t>
  </si>
  <si>
    <t>CLO</t>
  </si>
  <si>
    <t>CTO</t>
  </si>
  <si>
    <t>emp</t>
  </si>
  <si>
    <t>CPA</t>
  </si>
  <si>
    <t>CRO</t>
  </si>
  <si>
    <t>IT spec</t>
  </si>
  <si>
    <t xml:space="preserve">
Налог</t>
  </si>
  <si>
    <t>ЗП + Налог</t>
  </si>
  <si>
    <t>Итого в мес, долл.</t>
  </si>
  <si>
    <t>Итого в год, долл.</t>
  </si>
  <si>
    <t>-</t>
  </si>
  <si>
    <t>Оборудование</t>
  </si>
  <si>
    <t>Интелектуальная собственность</t>
  </si>
  <si>
    <t>Транспорт</t>
  </si>
  <si>
    <t>млн.долл.</t>
  </si>
  <si>
    <t xml:space="preserve"> долл.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</si>
</sst>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-* #,##0.00_-;\-* #,##0.00_-;_-* &quot;-&quot;??_-;_-@_-"/>
    <numFmt numFmtId="165" formatCode="_-* #,##0.0_-;\-* #,##0.0_-;_-* &quot;-&quot;??_-;_-@_-"/>
    <numFmt numFmtId="166" formatCode="_-* #,##0_-;\-* #,##0_-;_-* &quot;-&quot;??_-;_-@_-"/>
    <numFmt numFmtId="167" formatCode="0.0%"/>
    <numFmt numFmtId="168" formatCode="_-* #,##0.0\ _X_D_R_-;\-* #,##0.0\ _X_D_R_-;_-* &quot;-&quot;?\ _X_D_R_-;_-@_-"/>
    <numFmt numFmtId="169" formatCode="_(* #,##0.0_);_(* \(#,##0.0\);_(* &quot;-&quot;?_);_(@_)"/>
    <numFmt numFmtId="170" formatCode="_-* #,##0\ _X_D_R_-;\-* #,##0\ _X_D_R_-;_-* &quot;-&quot;?\ _X_D_R_-;_-@_-"/>
    <numFmt numFmtId="171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theme="9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theme="9" tint="-0.249977111117893"/>
      <name val="Calibri"/>
      <family val="2"/>
      <scheme val="minor"/>
    </font>
    <font>
      <sz val="9"/>
      <color theme="9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4" fillId="0" borderId="0" xfId="0" applyFont="1"/>
    <xf numFmtId="0" fontId="0" fillId="2" borderId="0" xfId="0" applyFill="1"/>
    <xf numFmtId="0" fontId="0" fillId="3" borderId="0" xfId="0" applyFill="1"/>
    <xf numFmtId="0" fontId="3" fillId="3" borderId="0" xfId="0" applyFont="1" applyFill="1"/>
    <xf numFmtId="0" fontId="3" fillId="2" borderId="0" xfId="0" applyFont="1" applyFill="1"/>
    <xf numFmtId="0" fontId="5" fillId="0" borderId="0" xfId="0" applyFont="1"/>
    <xf numFmtId="0" fontId="6" fillId="0" borderId="0" xfId="0" applyFont="1"/>
    <xf numFmtId="0" fontId="0" fillId="0" borderId="0" xfId="0" applyFont="1"/>
    <xf numFmtId="0" fontId="0" fillId="4" borderId="0" xfId="0" applyFill="1"/>
    <xf numFmtId="0" fontId="3" fillId="0" borderId="0" xfId="0" applyFont="1"/>
    <xf numFmtId="0" fontId="3" fillId="4" borderId="0" xfId="0" applyFont="1" applyFill="1"/>
    <xf numFmtId="0" fontId="4" fillId="4" borderId="0" xfId="0" applyFont="1" applyFill="1"/>
    <xf numFmtId="0" fontId="5" fillId="0" borderId="0" xfId="0" applyFont="1" applyAlignment="1">
      <alignment horizontal="left" indent="1"/>
    </xf>
    <xf numFmtId="10" fontId="0" fillId="0" borderId="0" xfId="0" applyNumberFormat="1"/>
    <xf numFmtId="165" fontId="0" fillId="0" borderId="0" xfId="1" applyNumberFormat="1" applyFont="1"/>
    <xf numFmtId="166" fontId="0" fillId="0" borderId="0" xfId="1" applyNumberFormat="1" applyFont="1"/>
    <xf numFmtId="167" fontId="6" fillId="0" borderId="0" xfId="2" applyNumberFormat="1" applyFont="1"/>
    <xf numFmtId="0" fontId="6" fillId="4" borderId="0" xfId="0" applyFont="1" applyFill="1"/>
    <xf numFmtId="0" fontId="5" fillId="0" borderId="0" xfId="0" applyFont="1" applyAlignment="1">
      <alignment horizontal="left"/>
    </xf>
    <xf numFmtId="9" fontId="0" fillId="0" borderId="0" xfId="0" applyNumberFormat="1"/>
    <xf numFmtId="167" fontId="0" fillId="0" borderId="0" xfId="0" applyNumberFormat="1"/>
    <xf numFmtId="0" fontId="8" fillId="0" borderId="0" xfId="0" applyFont="1" applyAlignment="1">
      <alignment horizontal="left" indent="2"/>
    </xf>
    <xf numFmtId="168" fontId="0" fillId="0" borderId="0" xfId="0" applyNumberFormat="1"/>
    <xf numFmtId="0" fontId="6" fillId="0" borderId="0" xfId="0" applyFont="1" applyAlignment="1">
      <alignment vertical="center"/>
    </xf>
    <xf numFmtId="0" fontId="9" fillId="0" borderId="0" xfId="0" applyFont="1"/>
    <xf numFmtId="0" fontId="2" fillId="0" borderId="0" xfId="0" applyFont="1" applyAlignment="1">
      <alignment wrapText="1"/>
    </xf>
    <xf numFmtId="0" fontId="2" fillId="0" borderId="0" xfId="0" applyFont="1"/>
    <xf numFmtId="0" fontId="10" fillId="0" borderId="0" xfId="0" applyFont="1"/>
    <xf numFmtId="1" fontId="11" fillId="0" borderId="0" xfId="0" applyNumberFormat="1" applyFont="1"/>
    <xf numFmtId="166" fontId="2" fillId="0" borderId="0" xfId="1" applyNumberFormat="1" applyFont="1"/>
    <xf numFmtId="0" fontId="12" fillId="0" borderId="0" xfId="0" applyFont="1" applyAlignment="1">
      <alignment horizontal="left" indent="1"/>
    </xf>
    <xf numFmtId="1" fontId="2" fillId="0" borderId="0" xfId="0" applyNumberFormat="1" applyFont="1"/>
    <xf numFmtId="0" fontId="13" fillId="0" borderId="0" xfId="0" applyFont="1" applyAlignment="1">
      <alignment horizontal="left" indent="1"/>
    </xf>
    <xf numFmtId="0" fontId="7" fillId="0" borderId="0" xfId="0" applyFont="1"/>
    <xf numFmtId="1" fontId="13" fillId="0" borderId="0" xfId="0" applyNumberFormat="1" applyFont="1"/>
    <xf numFmtId="1" fontId="14" fillId="0" borderId="0" xfId="0" applyNumberFormat="1" applyFont="1"/>
    <xf numFmtId="0" fontId="15" fillId="0" borderId="0" xfId="0" applyFont="1" applyAlignment="1">
      <alignment horizontal="left" indent="1"/>
    </xf>
    <xf numFmtId="166" fontId="13" fillId="0" borderId="0" xfId="1" applyNumberFormat="1" applyFont="1"/>
    <xf numFmtId="0" fontId="13" fillId="0" borderId="1" xfId="0" applyFont="1" applyBorder="1" applyAlignment="1">
      <alignment horizontal="left" indent="1"/>
    </xf>
    <xf numFmtId="0" fontId="9" fillId="0" borderId="1" xfId="0" applyFont="1" applyBorder="1"/>
    <xf numFmtId="0" fontId="7" fillId="0" borderId="1" xfId="0" applyFont="1" applyBorder="1"/>
    <xf numFmtId="166" fontId="13" fillId="0" borderId="1" xfId="1" applyNumberFormat="1" applyFont="1" applyBorder="1"/>
    <xf numFmtId="1" fontId="14" fillId="0" borderId="1" xfId="0" applyNumberFormat="1" applyFont="1" applyBorder="1"/>
    <xf numFmtId="0" fontId="15" fillId="0" borderId="1" xfId="0" applyFont="1" applyBorder="1" applyAlignment="1">
      <alignment horizontal="left" indent="1"/>
    </xf>
    <xf numFmtId="0" fontId="6" fillId="0" borderId="1" xfId="0" applyFont="1" applyBorder="1" applyAlignment="1">
      <alignment vertical="center"/>
    </xf>
    <xf numFmtId="0" fontId="0" fillId="0" borderId="1" xfId="0" applyBorder="1"/>
    <xf numFmtId="166" fontId="1" fillId="0" borderId="1" xfId="1" applyNumberFormat="1" applyFont="1" applyBorder="1"/>
    <xf numFmtId="0" fontId="2" fillId="0" borderId="1" xfId="0" applyFont="1" applyBorder="1"/>
    <xf numFmtId="166" fontId="2" fillId="0" borderId="1" xfId="1" applyNumberFormat="1" applyFont="1" applyBorder="1"/>
    <xf numFmtId="0" fontId="3" fillId="0" borderId="0" xfId="0" applyFont="1" applyBorder="1"/>
    <xf numFmtId="165" fontId="3" fillId="0" borderId="0" xfId="1" applyNumberFormat="1" applyFont="1" applyBorder="1"/>
    <xf numFmtId="0" fontId="0" fillId="0" borderId="0" xfId="0" applyBorder="1"/>
    <xf numFmtId="165" fontId="0" fillId="0" borderId="0" xfId="0" applyNumberFormat="1"/>
    <xf numFmtId="165" fontId="3" fillId="0" borderId="0" xfId="0" applyNumberFormat="1" applyFont="1"/>
    <xf numFmtId="9" fontId="3" fillId="0" borderId="0" xfId="0" applyNumberFormat="1" applyFont="1"/>
    <xf numFmtId="0" fontId="16" fillId="0" borderId="0" xfId="0" applyFont="1" applyBorder="1"/>
    <xf numFmtId="0" fontId="17" fillId="0" borderId="0" xfId="0" applyFont="1"/>
    <xf numFmtId="165" fontId="16" fillId="0" borderId="0" xfId="0" applyNumberFormat="1" applyFont="1"/>
    <xf numFmtId="0" fontId="6" fillId="0" borderId="0" xfId="0" quotePrefix="1" applyFont="1"/>
    <xf numFmtId="0" fontId="6" fillId="0" borderId="1" xfId="0" quotePrefix="1" applyFont="1" applyBorder="1"/>
    <xf numFmtId="167" fontId="6" fillId="5" borderId="0" xfId="2" applyNumberFormat="1" applyFont="1" applyFill="1"/>
    <xf numFmtId="0" fontId="4" fillId="0" borderId="1" xfId="0" applyFont="1" applyBorder="1"/>
    <xf numFmtId="169" fontId="0" fillId="0" borderId="0" xfId="0" applyNumberFormat="1"/>
    <xf numFmtId="0" fontId="0" fillId="5" borderId="0" xfId="0" applyFill="1"/>
    <xf numFmtId="0" fontId="0" fillId="4" borderId="0" xfId="0" applyFont="1" applyFill="1"/>
    <xf numFmtId="0" fontId="18" fillId="0" borderId="0" xfId="0" applyFont="1"/>
    <xf numFmtId="0" fontId="0" fillId="6" borderId="0" xfId="0" applyFill="1"/>
    <xf numFmtId="170" fontId="0" fillId="0" borderId="0" xfId="0" applyNumberFormat="1"/>
    <xf numFmtId="0" fontId="18" fillId="0" borderId="1" xfId="0" applyFont="1" applyBorder="1"/>
    <xf numFmtId="0" fontId="0" fillId="0" borderId="1" xfId="0" applyFont="1" applyBorder="1" applyAlignment="1">
      <alignment wrapText="1"/>
    </xf>
    <xf numFmtId="0" fontId="19" fillId="0" borderId="0" xfId="0" applyFont="1"/>
    <xf numFmtId="171" fontId="0" fillId="0" borderId="0" xfId="0" applyNumberFormat="1"/>
    <xf numFmtId="9" fontId="0" fillId="0" borderId="0" xfId="2" applyFont="1"/>
    <xf numFmtId="0" fontId="13" fillId="0" borderId="0" xfId="0" applyFont="1" applyBorder="1" applyAlignment="1">
      <alignment horizontal="left" indent="1"/>
    </xf>
    <xf numFmtId="0" fontId="20" fillId="0" borderId="0" xfId="0" applyFont="1" applyAlignment="1">
      <alignment horizontal="left"/>
    </xf>
    <xf numFmtId="0" fontId="20" fillId="0" borderId="0" xfId="0" applyFont="1" applyBorder="1" applyAlignment="1">
      <alignment horizontal="left"/>
    </xf>
    <xf numFmtId="165" fontId="3" fillId="0" borderId="0" xfId="1" applyNumberFormat="1" applyFont="1"/>
    <xf numFmtId="0" fontId="21" fillId="0" borderId="0" xfId="0" applyFont="1" applyBorder="1" applyAlignment="1">
      <alignment horizontal="left"/>
    </xf>
    <xf numFmtId="166" fontId="3" fillId="0" borderId="0" xfId="1" applyNumberFormat="1" applyFont="1"/>
    <xf numFmtId="166" fontId="3" fillId="5" borderId="0" xfId="1" applyNumberFormat="1" applyFont="1" applyFill="1"/>
    <xf numFmtId="0" fontId="9" fillId="0" borderId="0" xfId="0" applyFont="1" applyBorder="1"/>
    <xf numFmtId="0" fontId="7" fillId="0" borderId="0" xfId="0" applyFont="1" applyBorder="1"/>
    <xf numFmtId="166" fontId="13" fillId="0" borderId="0" xfId="1" applyNumberFormat="1" applyFont="1" applyBorder="1"/>
    <xf numFmtId="166" fontId="0" fillId="5" borderId="0" xfId="1" applyNumberFormat="1" applyFont="1" applyFill="1"/>
    <xf numFmtId="0" fontId="0" fillId="0" borderId="0" xfId="0" applyFont="1" applyAlignment="1">
      <alignment horizontal="left"/>
    </xf>
    <xf numFmtId="0" fontId="0" fillId="0" borderId="0" xfId="0" applyFont="1" applyAlignment="1">
      <alignment horizontal="left" wrapText="1"/>
    </xf>
    <xf numFmtId="0" fontId="0" fillId="7" borderId="0" xfId="0" applyFill="1"/>
    <xf numFmtId="0" fontId="3" fillId="3" borderId="0" xfId="0" applyFont="1" applyFill="1" applyBorder="1"/>
    <xf numFmtId="0" fontId="0" fillId="3" borderId="0" xfId="0" applyFill="1" applyBorder="1"/>
    <xf numFmtId="0" fontId="22" fillId="7" borderId="0" xfId="0" applyFont="1" applyFill="1"/>
    <xf numFmtId="0" fontId="6" fillId="0" borderId="0" xfId="0" quotePrefix="1" applyFont="1" applyBorder="1"/>
    <xf numFmtId="2" fontId="0" fillId="0" borderId="0" xfId="0" applyNumberFormat="1"/>
    <xf numFmtId="2" fontId="4" fillId="0" borderId="0" xfId="0" applyNumberFormat="1" applyFont="1"/>
    <xf numFmtId="0" fontId="3" fillId="2" borderId="2" xfId="0" applyFont="1" applyFill="1" applyBorder="1" applyAlignment="1">
      <alignment wrapText="1"/>
    </xf>
    <xf numFmtId="0" fontId="3" fillId="2" borderId="2" xfId="0" applyFont="1" applyFill="1" applyBorder="1" applyAlignment="1">
      <alignment horizontal="center" wrapText="1"/>
    </xf>
    <xf numFmtId="0" fontId="0" fillId="7" borderId="2" xfId="0" applyFill="1" applyBorder="1"/>
    <xf numFmtId="0" fontId="0" fillId="7" borderId="2" xfId="0" applyFill="1" applyBorder="1" applyAlignment="1">
      <alignment horizontal="center"/>
    </xf>
    <xf numFmtId="0" fontId="3" fillId="7" borderId="2" xfId="0" applyFont="1" applyFill="1" applyBorder="1"/>
    <xf numFmtId="0" fontId="3" fillId="7" borderId="2" xfId="0" applyFont="1" applyFill="1" applyBorder="1" applyAlignment="1">
      <alignment horizontal="center"/>
    </xf>
    <xf numFmtId="166" fontId="0" fillId="7" borderId="2" xfId="1" applyNumberFormat="1" applyFont="1" applyFill="1" applyBorder="1" applyAlignment="1">
      <alignment horizontal="center" vertical="center"/>
    </xf>
    <xf numFmtId="2" fontId="0" fillId="7" borderId="2" xfId="0" applyNumberFormat="1" applyFill="1" applyBorder="1" applyAlignment="1">
      <alignment horizontal="center"/>
    </xf>
    <xf numFmtId="166" fontId="0" fillId="0" borderId="0" xfId="1" applyNumberFormat="1" applyFont="1" applyAlignment="1">
      <alignment horizontal="center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S18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18" sqref="G18"/>
    </sheetView>
  </sheetViews>
  <sheetFormatPr defaultRowHeight="14.5" x14ac:dyDescent="0.35"/>
  <cols>
    <col min="1" max="1" width="23.90625" customWidth="1"/>
    <col min="2" max="2" width="14.453125" customWidth="1"/>
    <col min="7" max="16" width="11.36328125" bestFit="1" customWidth="1"/>
  </cols>
  <sheetData>
    <row r="1" spans="1:19" x14ac:dyDescent="0.35">
      <c r="A1" s="4" t="s">
        <v>29</v>
      </c>
      <c r="B1" s="3"/>
    </row>
    <row r="2" spans="1:19" x14ac:dyDescent="0.35">
      <c r="G2" s="1" t="s">
        <v>1</v>
      </c>
    </row>
    <row r="3" spans="1:19" s="2" customFormat="1" x14ac:dyDescent="0.35">
      <c r="A3" s="5" t="s">
        <v>3</v>
      </c>
      <c r="B3" s="5" t="s">
        <v>2</v>
      </c>
      <c r="C3" s="5"/>
      <c r="D3" s="5"/>
      <c r="E3" s="5">
        <v>2019</v>
      </c>
      <c r="F3" s="5">
        <v>2020</v>
      </c>
      <c r="G3" s="5">
        <v>2021</v>
      </c>
      <c r="H3" s="5">
        <f>G3+1</f>
        <v>2022</v>
      </c>
      <c r="I3" s="5">
        <f t="shared" ref="I3:S4" si="0">H3+1</f>
        <v>2023</v>
      </c>
      <c r="J3" s="5">
        <f t="shared" si="0"/>
        <v>2024</v>
      </c>
      <c r="K3" s="5">
        <f t="shared" si="0"/>
        <v>2025</v>
      </c>
      <c r="L3" s="5">
        <f t="shared" si="0"/>
        <v>2026</v>
      </c>
      <c r="M3" s="5">
        <f t="shared" si="0"/>
        <v>2027</v>
      </c>
      <c r="N3" s="5">
        <f t="shared" si="0"/>
        <v>2028</v>
      </c>
      <c r="O3" s="5">
        <f t="shared" si="0"/>
        <v>2029</v>
      </c>
      <c r="P3" s="5">
        <f t="shared" si="0"/>
        <v>2030</v>
      </c>
    </row>
    <row r="4" spans="1:19" s="46" customFormat="1" x14ac:dyDescent="0.35">
      <c r="C4" s="62"/>
      <c r="D4" s="62" t="s">
        <v>57</v>
      </c>
      <c r="E4" s="62"/>
      <c r="F4" s="62"/>
      <c r="G4" s="62"/>
      <c r="H4" s="62">
        <v>0</v>
      </c>
      <c r="I4" s="62">
        <f>H4+1</f>
        <v>1</v>
      </c>
      <c r="J4" s="62">
        <f t="shared" si="0"/>
        <v>2</v>
      </c>
      <c r="K4" s="62">
        <f t="shared" si="0"/>
        <v>3</v>
      </c>
      <c r="L4" s="62">
        <f t="shared" si="0"/>
        <v>4</v>
      </c>
      <c r="M4" s="62">
        <f t="shared" si="0"/>
        <v>5</v>
      </c>
      <c r="N4" s="62">
        <f t="shared" si="0"/>
        <v>6</v>
      </c>
      <c r="O4" s="62">
        <f t="shared" si="0"/>
        <v>7</v>
      </c>
      <c r="P4" s="62">
        <f t="shared" si="0"/>
        <v>8</v>
      </c>
      <c r="Q4" s="62">
        <f t="shared" si="0"/>
        <v>9</v>
      </c>
      <c r="R4" s="62">
        <f t="shared" si="0"/>
        <v>10</v>
      </c>
      <c r="S4" s="62">
        <f t="shared" si="0"/>
        <v>11</v>
      </c>
    </row>
    <row r="5" spans="1:19" x14ac:dyDescent="0.35">
      <c r="C5" s="1"/>
      <c r="D5" s="1"/>
      <c r="E5" s="1"/>
      <c r="F5" s="1"/>
    </row>
    <row r="6" spans="1:19" x14ac:dyDescent="0.35">
      <c r="C6" s="1"/>
      <c r="D6" s="1"/>
      <c r="E6" s="1"/>
      <c r="F6" s="1"/>
    </row>
    <row r="7" spans="1:19" x14ac:dyDescent="0.35">
      <c r="A7" t="s">
        <v>7</v>
      </c>
      <c r="B7" s="7" t="s">
        <v>9</v>
      </c>
      <c r="E7" s="14">
        <v>6.5000000000000002E-2</v>
      </c>
      <c r="F7" s="14">
        <v>0.04</v>
      </c>
      <c r="G7" s="14">
        <v>3.5000000000000003E-2</v>
      </c>
      <c r="H7" s="14">
        <v>0.05</v>
      </c>
      <c r="I7" s="14">
        <v>4.8000000000000001E-2</v>
      </c>
      <c r="J7" s="14">
        <v>0.04</v>
      </c>
      <c r="K7" s="14">
        <v>4.4999999999999998E-2</v>
      </c>
      <c r="L7" s="14">
        <v>0.05</v>
      </c>
      <c r="M7" s="14">
        <v>5.1999999999999998E-2</v>
      </c>
      <c r="N7" s="14">
        <v>5.0999999999999997E-2</v>
      </c>
      <c r="O7" s="14">
        <v>4.4999999999999998E-2</v>
      </c>
      <c r="P7" s="14">
        <v>4.2999999999999997E-2</v>
      </c>
    </row>
    <row r="8" spans="1:19" x14ac:dyDescent="0.35">
      <c r="A8" t="s">
        <v>8</v>
      </c>
      <c r="B8" s="7" t="s">
        <v>10</v>
      </c>
      <c r="E8" s="92">
        <v>27.4</v>
      </c>
      <c r="F8" s="92">
        <v>28.85</v>
      </c>
      <c r="G8" s="92">
        <v>28.9</v>
      </c>
      <c r="H8" s="92">
        <v>28.6</v>
      </c>
      <c r="I8" s="92">
        <v>28.7</v>
      </c>
      <c r="J8" s="92">
        <v>28.7</v>
      </c>
      <c r="K8" s="92">
        <v>28.7</v>
      </c>
      <c r="L8" s="92">
        <v>28.7</v>
      </c>
      <c r="M8" s="92">
        <v>28.7</v>
      </c>
      <c r="N8" s="92">
        <v>28.7</v>
      </c>
      <c r="O8" s="92">
        <v>28.7</v>
      </c>
      <c r="P8" s="92">
        <v>28.7</v>
      </c>
    </row>
    <row r="9" spans="1:19" x14ac:dyDescent="0.35">
      <c r="A9" t="s">
        <v>11</v>
      </c>
      <c r="B9" s="7" t="s">
        <v>12</v>
      </c>
      <c r="E9" s="92">
        <v>43.99</v>
      </c>
      <c r="F9" s="92">
        <v>43.73</v>
      </c>
      <c r="G9" s="93">
        <v>43.47</v>
      </c>
      <c r="H9" s="93">
        <v>43.19</v>
      </c>
      <c r="I9" s="93">
        <v>42.91</v>
      </c>
      <c r="J9" s="93">
        <v>42.63</v>
      </c>
      <c r="K9" s="93">
        <v>42.34</v>
      </c>
      <c r="L9" s="93">
        <v>42.05</v>
      </c>
      <c r="M9" s="93">
        <v>41.76</v>
      </c>
      <c r="N9" s="93">
        <v>41.47</v>
      </c>
      <c r="O9" s="93">
        <v>41.174999999999997</v>
      </c>
      <c r="P9" s="93">
        <v>40.880000000000003</v>
      </c>
    </row>
    <row r="10" spans="1:19" x14ac:dyDescent="0.35">
      <c r="A10" t="s">
        <v>13</v>
      </c>
      <c r="B10" s="6" t="s">
        <v>9</v>
      </c>
      <c r="G10" s="20">
        <v>0.18</v>
      </c>
      <c r="H10" s="20">
        <v>0.18</v>
      </c>
      <c r="I10" s="20">
        <v>0.18</v>
      </c>
      <c r="J10" s="20">
        <v>0.18</v>
      </c>
      <c r="K10" s="20">
        <v>0.18</v>
      </c>
      <c r="L10" s="20">
        <v>0.18</v>
      </c>
      <c r="M10" s="20">
        <v>0.18</v>
      </c>
      <c r="N10" s="20">
        <v>0.18</v>
      </c>
      <c r="O10" s="20">
        <v>0.18</v>
      </c>
      <c r="P10" s="20">
        <v>0.18</v>
      </c>
    </row>
    <row r="11" spans="1:19" x14ac:dyDescent="0.35">
      <c r="A11" t="s">
        <v>14</v>
      </c>
      <c r="B11" s="6" t="s">
        <v>9</v>
      </c>
      <c r="G11" s="20">
        <v>0.2</v>
      </c>
      <c r="H11" s="20">
        <v>0.2</v>
      </c>
      <c r="I11" s="20">
        <v>0.2</v>
      </c>
      <c r="J11" s="20">
        <v>0.2</v>
      </c>
      <c r="K11" s="20">
        <v>0.2</v>
      </c>
      <c r="L11" s="20">
        <v>0.2</v>
      </c>
      <c r="M11" s="20">
        <v>0.2</v>
      </c>
      <c r="N11" s="20">
        <v>0.2</v>
      </c>
      <c r="O11" s="20">
        <v>0.2</v>
      </c>
      <c r="P11" s="20">
        <v>0.2</v>
      </c>
    </row>
    <row r="14" spans="1:19" s="9" customFormat="1" x14ac:dyDescent="0.35">
      <c r="A14" s="11" t="s">
        <v>32</v>
      </c>
      <c r="B14" s="18"/>
    </row>
    <row r="15" spans="1:19" x14ac:dyDescent="0.35">
      <c r="B15" s="7"/>
    </row>
    <row r="16" spans="1:19" x14ac:dyDescent="0.35">
      <c r="A16" s="86" t="s">
        <v>51</v>
      </c>
      <c r="B16" s="6" t="s">
        <v>9</v>
      </c>
      <c r="G16" s="20">
        <v>0.18279999999999999</v>
      </c>
    </row>
    <row r="17" spans="1:7" x14ac:dyDescent="0.35">
      <c r="A17" s="85" t="s">
        <v>48</v>
      </c>
      <c r="B17" s="6" t="s">
        <v>9</v>
      </c>
      <c r="G17" s="20">
        <v>0.12</v>
      </c>
    </row>
    <row r="18" spans="1:7" x14ac:dyDescent="0.35">
      <c r="A18" s="19"/>
      <c r="B18" s="6"/>
    </row>
  </sheetData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29" sqref="L29"/>
    </sheetView>
  </sheetViews>
  <sheetFormatPr defaultRowHeight="14.5" x14ac:dyDescent="0.3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P37"/>
  <sheetViews>
    <sheetView zoomScale="90" zoomScaleNormal="90" workbookViewId="0">
      <pane xSplit="2" ySplit="3" topLeftCell="C4" activePane="bottomRight" state="frozen"/>
      <selection pane="topRight" activeCell="C1" sqref="C1"/>
      <selection pane="bottomLeft" activeCell="A5" sqref="A5"/>
      <selection pane="bottomRight" activeCell="C4" sqref="C4:R4"/>
    </sheetView>
  </sheetViews>
  <sheetFormatPr defaultRowHeight="14.5" x14ac:dyDescent="0.35"/>
  <cols>
    <col min="1" max="1" width="23.90625" customWidth="1"/>
    <col min="2" max="2" width="14.453125" customWidth="1"/>
    <col min="10" max="13" width="9.08984375" customWidth="1"/>
  </cols>
  <sheetData>
    <row r="1" spans="1:16" x14ac:dyDescent="0.35">
      <c r="A1" s="4" t="s">
        <v>30</v>
      </c>
      <c r="B1" s="3"/>
    </row>
    <row r="2" spans="1:16" x14ac:dyDescent="0.35">
      <c r="G2" s="1" t="s">
        <v>1</v>
      </c>
    </row>
    <row r="3" spans="1:16" s="2" customFormat="1" x14ac:dyDescent="0.35">
      <c r="A3" s="5" t="s">
        <v>3</v>
      </c>
      <c r="B3" s="5" t="s">
        <v>2</v>
      </c>
      <c r="C3" s="5"/>
      <c r="D3" s="5"/>
      <c r="E3" s="5">
        <v>2019</v>
      </c>
      <c r="F3" s="5">
        <v>2020</v>
      </c>
      <c r="G3" s="5">
        <v>2021</v>
      </c>
      <c r="H3" s="5">
        <f>G3+1</f>
        <v>2022</v>
      </c>
      <c r="I3" s="5">
        <f t="shared" ref="I3:P3" si="0">H3+1</f>
        <v>2023</v>
      </c>
      <c r="J3" s="5">
        <f t="shared" si="0"/>
        <v>2024</v>
      </c>
      <c r="K3" s="5">
        <f t="shared" si="0"/>
        <v>2025</v>
      </c>
      <c r="L3" s="5">
        <f t="shared" si="0"/>
        <v>2026</v>
      </c>
      <c r="M3" s="5">
        <f t="shared" si="0"/>
        <v>2027</v>
      </c>
      <c r="N3" s="5">
        <f t="shared" si="0"/>
        <v>2028</v>
      </c>
      <c r="O3" s="5">
        <f t="shared" si="0"/>
        <v>2029</v>
      </c>
      <c r="P3" s="5">
        <f t="shared" si="0"/>
        <v>2030</v>
      </c>
    </row>
    <row r="4" spans="1:16" x14ac:dyDescent="0.35">
      <c r="C4" s="1"/>
      <c r="D4" s="1"/>
      <c r="E4" s="1"/>
      <c r="F4" s="1"/>
    </row>
    <row r="5" spans="1:16" x14ac:dyDescent="0.35">
      <c r="C5" s="1"/>
      <c r="D5" s="1"/>
      <c r="E5" s="1"/>
      <c r="F5" s="1"/>
    </row>
    <row r="6" spans="1:16" s="9" customFormat="1" x14ac:dyDescent="0.35">
      <c r="A6" s="11" t="s">
        <v>31</v>
      </c>
      <c r="B6" s="18"/>
    </row>
    <row r="7" spans="1:16" x14ac:dyDescent="0.35">
      <c r="B7" s="7"/>
    </row>
    <row r="8" spans="1:16" x14ac:dyDescent="0.35">
      <c r="A8" s="85" t="s">
        <v>19</v>
      </c>
      <c r="B8" s="7" t="s">
        <v>9</v>
      </c>
      <c r="E8" s="20">
        <v>0.6</v>
      </c>
    </row>
    <row r="9" spans="1:16" x14ac:dyDescent="0.35">
      <c r="A9" s="85" t="s">
        <v>20</v>
      </c>
      <c r="B9" s="7" t="s">
        <v>9</v>
      </c>
      <c r="E9" s="20">
        <v>0.18</v>
      </c>
    </row>
    <row r="10" spans="1:16" x14ac:dyDescent="0.35">
      <c r="A10" s="85" t="s">
        <v>28</v>
      </c>
      <c r="B10" s="7" t="s">
        <v>9</v>
      </c>
      <c r="E10" s="20">
        <v>0.15</v>
      </c>
    </row>
    <row r="11" spans="1:16" x14ac:dyDescent="0.35">
      <c r="A11" s="85" t="s">
        <v>21</v>
      </c>
      <c r="B11" s="7" t="s">
        <v>9</v>
      </c>
      <c r="E11" s="20">
        <v>0.05</v>
      </c>
    </row>
    <row r="12" spans="1:16" x14ac:dyDescent="0.35">
      <c r="A12" s="85" t="s">
        <v>22</v>
      </c>
      <c r="B12" s="7" t="s">
        <v>9</v>
      </c>
      <c r="E12" s="20">
        <v>0.02</v>
      </c>
    </row>
    <row r="13" spans="1:16" x14ac:dyDescent="0.35">
      <c r="B13" s="1"/>
    </row>
    <row r="14" spans="1:16" s="9" customFormat="1" x14ac:dyDescent="0.35">
      <c r="A14" s="11" t="s">
        <v>33</v>
      </c>
      <c r="B14" s="18"/>
    </row>
    <row r="15" spans="1:16" x14ac:dyDescent="0.35">
      <c r="B15" s="7"/>
    </row>
    <row r="16" spans="1:16" x14ac:dyDescent="0.35">
      <c r="A16" s="85" t="s">
        <v>34</v>
      </c>
      <c r="B16" s="7" t="s">
        <v>9</v>
      </c>
      <c r="G16" s="21">
        <v>8.5000000000000006E-2</v>
      </c>
      <c r="H16" s="21">
        <v>8.5000000000000006E-2</v>
      </c>
      <c r="I16" s="21">
        <v>8.5000000000000006E-2</v>
      </c>
      <c r="J16" s="21">
        <v>8.5000000000000006E-2</v>
      </c>
      <c r="K16" s="21">
        <v>8.5000000000000006E-2</v>
      </c>
      <c r="L16" s="21">
        <v>0.05</v>
      </c>
      <c r="M16" s="21">
        <v>0.05</v>
      </c>
      <c r="N16" s="21">
        <v>0.05</v>
      </c>
      <c r="O16" s="21">
        <v>0.05</v>
      </c>
      <c r="P16" s="21">
        <v>0.05</v>
      </c>
    </row>
    <row r="17" spans="1:16" x14ac:dyDescent="0.35">
      <c r="A17" s="85" t="s">
        <v>35</v>
      </c>
      <c r="B17" s="7" t="s">
        <v>9</v>
      </c>
      <c r="G17" s="21">
        <v>0.11</v>
      </c>
      <c r="H17" s="20">
        <v>0.12</v>
      </c>
      <c r="I17" s="20">
        <v>0.12</v>
      </c>
      <c r="J17" s="20">
        <v>0.12</v>
      </c>
      <c r="K17" s="20">
        <v>0.04</v>
      </c>
      <c r="L17" s="20">
        <v>0.04</v>
      </c>
      <c r="M17" s="20">
        <v>0.04</v>
      </c>
      <c r="N17" s="20">
        <v>0.04</v>
      </c>
      <c r="O17" s="20">
        <v>0.04</v>
      </c>
      <c r="P17" s="20">
        <v>0.04</v>
      </c>
    </row>
    <row r="18" spans="1:16" x14ac:dyDescent="0.35">
      <c r="A18" t="s">
        <v>85</v>
      </c>
      <c r="B18" s="1" t="s">
        <v>9</v>
      </c>
      <c r="G18" s="20">
        <v>0.4</v>
      </c>
      <c r="H18" s="20">
        <v>0.4</v>
      </c>
      <c r="I18" s="20">
        <v>0.4</v>
      </c>
      <c r="J18" s="20">
        <v>0.4</v>
      </c>
      <c r="K18" s="20">
        <v>0.4</v>
      </c>
      <c r="L18" s="20">
        <v>0.4</v>
      </c>
      <c r="M18" s="20">
        <v>0.4</v>
      </c>
      <c r="N18" s="20">
        <v>0.4</v>
      </c>
      <c r="O18" s="20">
        <v>0.4</v>
      </c>
      <c r="P18" s="20">
        <v>0.4</v>
      </c>
    </row>
    <row r="19" spans="1:16" x14ac:dyDescent="0.35">
      <c r="B19" s="1"/>
    </row>
    <row r="20" spans="1:16" s="9" customFormat="1" x14ac:dyDescent="0.35">
      <c r="A20" s="11" t="s">
        <v>63</v>
      </c>
      <c r="B20" s="18"/>
    </row>
    <row r="21" spans="1:16" x14ac:dyDescent="0.35">
      <c r="B21" s="1"/>
    </row>
    <row r="22" spans="1:16" x14ac:dyDescent="0.35">
      <c r="A22" s="85" t="s">
        <v>34</v>
      </c>
      <c r="B22" s="7" t="s">
        <v>64</v>
      </c>
      <c r="F22">
        <v>1</v>
      </c>
      <c r="G22" s="21"/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35">
      <c r="A23" s="85" t="s">
        <v>35</v>
      </c>
      <c r="B23" s="7" t="s">
        <v>65</v>
      </c>
      <c r="F23">
        <v>4</v>
      </c>
      <c r="G23" s="21"/>
      <c r="H23" s="20"/>
      <c r="I23" s="20"/>
      <c r="J23" s="20"/>
      <c r="K23" s="20"/>
      <c r="L23" s="20"/>
      <c r="M23" s="20"/>
      <c r="N23" s="20"/>
      <c r="O23" s="20"/>
      <c r="P23" s="20"/>
    </row>
    <row r="24" spans="1:16" x14ac:dyDescent="0.35">
      <c r="A24" s="85" t="s">
        <v>66</v>
      </c>
      <c r="B24" s="7"/>
      <c r="G24" s="73">
        <v>-0.05</v>
      </c>
      <c r="H24" s="73">
        <v>-0.05</v>
      </c>
      <c r="I24" s="73">
        <v>-0.05</v>
      </c>
      <c r="J24" s="73">
        <v>-0.05</v>
      </c>
      <c r="K24" s="73">
        <v>-0.05</v>
      </c>
      <c r="L24" s="73">
        <v>-0.05</v>
      </c>
      <c r="M24" s="73">
        <v>-0.05</v>
      </c>
      <c r="N24" s="73">
        <v>-0.05</v>
      </c>
      <c r="O24" s="73">
        <v>-0.05</v>
      </c>
      <c r="P24" s="73">
        <v>-0.05</v>
      </c>
    </row>
    <row r="25" spans="1:16" x14ac:dyDescent="0.35">
      <c r="A25" s="19"/>
      <c r="B25" s="7"/>
      <c r="G25" s="21"/>
      <c r="H25" s="20"/>
      <c r="I25" s="20"/>
      <c r="J25" s="20"/>
      <c r="K25" s="20"/>
      <c r="L25" s="20"/>
      <c r="M25" s="20"/>
      <c r="N25" s="20"/>
      <c r="O25" s="20"/>
      <c r="P25" s="20"/>
    </row>
    <row r="26" spans="1:16" s="9" customFormat="1" x14ac:dyDescent="0.35">
      <c r="A26" s="11" t="s">
        <v>81</v>
      </c>
      <c r="B26" s="18"/>
    </row>
    <row r="27" spans="1:16" x14ac:dyDescent="0.35">
      <c r="B27" s="1"/>
    </row>
    <row r="28" spans="1:16" x14ac:dyDescent="0.35">
      <c r="A28" s="85" t="s">
        <v>82</v>
      </c>
      <c r="B28" s="7" t="s">
        <v>9</v>
      </c>
      <c r="G28" s="20">
        <v>-0.02</v>
      </c>
      <c r="H28" s="20">
        <v>-0.02</v>
      </c>
      <c r="I28" s="20">
        <v>-0.02</v>
      </c>
      <c r="J28" s="20">
        <v>-0.02</v>
      </c>
      <c r="K28" s="20">
        <v>-0.02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</row>
    <row r="29" spans="1:16" x14ac:dyDescent="0.35">
      <c r="A29" s="85" t="s">
        <v>107</v>
      </c>
      <c r="B29" s="7" t="s">
        <v>9</v>
      </c>
      <c r="G29" s="20">
        <v>0</v>
      </c>
      <c r="H29" s="20">
        <v>0</v>
      </c>
      <c r="I29" s="20">
        <v>0.15</v>
      </c>
      <c r="J29" s="20">
        <v>0.15</v>
      </c>
      <c r="K29" s="73">
        <f>IF((Macro_and_inputs!G7+Доходы!K14/Доходы!J14-1)&gt;0,Macro_and_inputs!G7+Доходы!K14/Доходы!J14-1,0%)</f>
        <v>0.27480042668974525</v>
      </c>
      <c r="L29" s="73">
        <f>IF((Macro_and_inputs!H7+Доходы!L14/Доходы!K14-1)&gt;0,Macro_and_inputs!H7+Доходы!L14/Доходы!K14-1,0%)</f>
        <v>0</v>
      </c>
      <c r="M29" s="73">
        <f>IF((Macro_and_inputs!I7+Доходы!M14/Доходы!L14-1)&gt;0,Macro_and_inputs!I7+Доходы!M14/Доходы!L14-1,0%)</f>
        <v>0</v>
      </c>
      <c r="N29" s="73">
        <f>IF((Macro_and_inputs!J7+Доходы!N14/Доходы!M14-1)&gt;0,Macro_and_inputs!J7+Доходы!N14/Доходы!M14-1,0%)</f>
        <v>0</v>
      </c>
      <c r="O29" s="73">
        <f>IF((Macro_and_inputs!K7+Доходы!O14/Доходы!N14-1)&gt;0,Macro_and_inputs!K7+Доходы!O14/Доходы!N14-1,0%)</f>
        <v>0</v>
      </c>
      <c r="P29" s="73">
        <v>0</v>
      </c>
    </row>
    <row r="30" spans="1:16" x14ac:dyDescent="0.35">
      <c r="B30" s="1"/>
    </row>
    <row r="31" spans="1:16" s="9" customFormat="1" x14ac:dyDescent="0.35">
      <c r="A31" s="11" t="s">
        <v>32</v>
      </c>
      <c r="B31" s="18"/>
    </row>
    <row r="32" spans="1:16" x14ac:dyDescent="0.35">
      <c r="B32" s="7"/>
    </row>
    <row r="33" spans="1:7" x14ac:dyDescent="0.35">
      <c r="A33" s="86" t="s">
        <v>51</v>
      </c>
      <c r="B33" s="7" t="s">
        <v>9</v>
      </c>
      <c r="G33" s="20">
        <v>0.18</v>
      </c>
    </row>
    <row r="34" spans="1:7" x14ac:dyDescent="0.35">
      <c r="A34" s="85" t="s">
        <v>48</v>
      </c>
      <c r="B34" s="7" t="s">
        <v>9</v>
      </c>
      <c r="G34" s="20">
        <v>0.12</v>
      </c>
    </row>
    <row r="35" spans="1:7" x14ac:dyDescent="0.35">
      <c r="A35" s="19"/>
      <c r="B35" s="6"/>
    </row>
    <row r="36" spans="1:7" x14ac:dyDescent="0.35">
      <c r="A36" s="19"/>
      <c r="B36" s="6"/>
    </row>
    <row r="37" spans="1:7" x14ac:dyDescent="0.35">
      <c r="A37" s="19"/>
      <c r="B37" s="6"/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Q46"/>
  <sheetViews>
    <sheetView zoomScale="85" zoomScaleNormal="85" workbookViewId="0">
      <pane xSplit="2" ySplit="3" topLeftCell="C4" activePane="bottomRight" state="frozen"/>
      <selection pane="topRight" activeCell="C1" sqref="C1"/>
      <selection pane="bottomLeft" activeCell="A5" sqref="A5"/>
      <selection pane="bottomRight" activeCell="A4" sqref="A4:P4"/>
    </sheetView>
  </sheetViews>
  <sheetFormatPr defaultRowHeight="14.5" x14ac:dyDescent="0.35"/>
  <cols>
    <col min="1" max="1" width="22.81640625" customWidth="1"/>
    <col min="2" max="2" width="14.453125" customWidth="1"/>
    <col min="7" max="7" width="10.6328125" bestFit="1" customWidth="1"/>
  </cols>
  <sheetData>
    <row r="1" spans="1:17" x14ac:dyDescent="0.35">
      <c r="A1" s="4" t="s">
        <v>4</v>
      </c>
      <c r="B1" s="3"/>
    </row>
    <row r="2" spans="1:17" x14ac:dyDescent="0.35">
      <c r="D2" s="1" t="s">
        <v>1</v>
      </c>
    </row>
    <row r="3" spans="1:17" s="2" customFormat="1" x14ac:dyDescent="0.35">
      <c r="A3" s="5" t="s">
        <v>3</v>
      </c>
      <c r="B3" s="5" t="s">
        <v>2</v>
      </c>
      <c r="C3" s="5"/>
      <c r="D3" s="5"/>
      <c r="E3" s="5">
        <v>2019</v>
      </c>
      <c r="F3" s="5">
        <v>2020</v>
      </c>
      <c r="G3" s="5">
        <v>2021</v>
      </c>
      <c r="H3" s="5">
        <f>G3+1</f>
        <v>2022</v>
      </c>
      <c r="I3" s="5">
        <f t="shared" ref="I3:P3" si="0">H3+1</f>
        <v>2023</v>
      </c>
      <c r="J3" s="5">
        <f t="shared" si="0"/>
        <v>2024</v>
      </c>
      <c r="K3" s="5">
        <f t="shared" si="0"/>
        <v>2025</v>
      </c>
      <c r="L3" s="5">
        <f t="shared" si="0"/>
        <v>2026</v>
      </c>
      <c r="M3" s="5">
        <f t="shared" si="0"/>
        <v>2027</v>
      </c>
      <c r="N3" s="5">
        <f t="shared" si="0"/>
        <v>2028</v>
      </c>
      <c r="O3" s="5">
        <f t="shared" si="0"/>
        <v>2029</v>
      </c>
      <c r="P3" s="5">
        <f t="shared" si="0"/>
        <v>2030</v>
      </c>
    </row>
    <row r="5" spans="1:17" s="9" customFormat="1" x14ac:dyDescent="0.35">
      <c r="A5" s="11" t="s">
        <v>111</v>
      </c>
      <c r="C5" s="12"/>
      <c r="D5" s="12"/>
      <c r="E5" s="12"/>
      <c r="F5" s="12"/>
    </row>
    <row r="6" spans="1:17" s="8" customFormat="1" x14ac:dyDescent="0.35">
      <c r="A6" s="28" t="s">
        <v>40</v>
      </c>
      <c r="B6" s="25" t="s">
        <v>5</v>
      </c>
      <c r="G6" s="29">
        <f>SUM(G7:G8)</f>
        <v>240</v>
      </c>
      <c r="H6" s="29">
        <v>420</v>
      </c>
      <c r="I6" s="29">
        <v>432.6</v>
      </c>
      <c r="J6" s="29">
        <v>445.57800000000003</v>
      </c>
      <c r="K6" s="29">
        <v>458.94533999999999</v>
      </c>
      <c r="L6" s="29">
        <v>472.71370020000001</v>
      </c>
      <c r="M6" s="29">
        <v>486.89511120600008</v>
      </c>
      <c r="N6" s="29">
        <v>501.50196454218008</v>
      </c>
      <c r="O6" s="29">
        <v>516.54702347844545</v>
      </c>
      <c r="P6" s="29">
        <v>532.04343418279882</v>
      </c>
    </row>
    <row r="7" spans="1:17" s="8" customFormat="1" x14ac:dyDescent="0.35">
      <c r="A7" s="37" t="s">
        <v>44</v>
      </c>
      <c r="B7" s="25" t="s">
        <v>5</v>
      </c>
      <c r="C7" s="34"/>
      <c r="D7" s="34"/>
      <c r="E7" s="34"/>
      <c r="F7" s="34"/>
      <c r="G7" s="36">
        <f>Доходы!G31</f>
        <v>48</v>
      </c>
      <c r="H7" s="36">
        <f>Доходы!H31</f>
        <v>57.768833577683225</v>
      </c>
      <c r="I7" s="36">
        <f>Доходы!I31</f>
        <v>75.941220098383894</v>
      </c>
      <c r="J7" s="36">
        <f>Доходы!J31</f>
        <v>96.484188292492036</v>
      </c>
      <c r="K7" s="36">
        <f>Доходы!K31</f>
        <v>119.62113781384538</v>
      </c>
      <c r="L7" s="36">
        <f>Доходы!L31</f>
        <v>91.820768317775489</v>
      </c>
      <c r="M7" s="36">
        <f>Доходы!M31</f>
        <v>58.47276786410869</v>
      </c>
      <c r="N7" s="36">
        <f>Доходы!N31</f>
        <v>18.685483047268072</v>
      </c>
      <c r="O7" s="36">
        <f>Доходы!O31</f>
        <v>0</v>
      </c>
      <c r="P7" s="36">
        <f>Доходы!P31</f>
        <v>0</v>
      </c>
    </row>
    <row r="8" spans="1:17" s="8" customFormat="1" x14ac:dyDescent="0.35">
      <c r="A8" s="37" t="s">
        <v>45</v>
      </c>
      <c r="B8" s="25" t="s">
        <v>5</v>
      </c>
      <c r="C8" s="34"/>
      <c r="D8" s="34"/>
      <c r="E8" s="34"/>
      <c r="F8" s="34"/>
      <c r="G8" s="36">
        <f>Доходы!G32</f>
        <v>192</v>
      </c>
      <c r="H8" s="36">
        <f>Доходы!H32</f>
        <v>231.0753343107329</v>
      </c>
      <c r="I8" s="36">
        <f>Доходы!I32</f>
        <v>303.76488039353558</v>
      </c>
      <c r="J8" s="36">
        <f>Доходы!J32</f>
        <v>385.93675316996814</v>
      </c>
      <c r="K8" s="36">
        <f>Доходы!K32</f>
        <v>478.48455125538152</v>
      </c>
      <c r="L8" s="36">
        <f>Доходы!L32</f>
        <v>367.28307327110196</v>
      </c>
      <c r="M8" s="36">
        <f>Доходы!M32</f>
        <v>233.89107145643476</v>
      </c>
      <c r="N8" s="36">
        <f>Доходы!N32</f>
        <v>74.741932189072287</v>
      </c>
      <c r="O8" s="36">
        <f>Доходы!O32</f>
        <v>0</v>
      </c>
      <c r="P8" s="36">
        <f>Доходы!P32</f>
        <v>0</v>
      </c>
    </row>
    <row r="9" spans="1:17" s="8" customFormat="1" x14ac:dyDescent="0.35">
      <c r="A9" s="44" t="s">
        <v>6</v>
      </c>
      <c r="B9" s="40" t="s">
        <v>5</v>
      </c>
      <c r="C9" s="41"/>
      <c r="D9" s="41"/>
      <c r="E9" s="41"/>
      <c r="F9" s="41"/>
      <c r="G9" s="43"/>
      <c r="H9" s="43"/>
      <c r="I9" s="43"/>
      <c r="J9" s="43"/>
      <c r="K9" s="43"/>
      <c r="L9" s="43"/>
      <c r="M9" s="43"/>
      <c r="N9" s="43"/>
      <c r="O9" s="43"/>
      <c r="P9" s="43"/>
    </row>
    <row r="10" spans="1:17" s="8" customFormat="1" ht="9" customHeight="1" x14ac:dyDescent="0.35">
      <c r="A10" s="28"/>
      <c r="B10" s="7"/>
      <c r="G10" s="29"/>
      <c r="H10" s="29"/>
      <c r="I10" s="29"/>
      <c r="J10" s="29"/>
      <c r="K10" s="29"/>
      <c r="L10" s="29"/>
      <c r="M10" s="29"/>
      <c r="N10" s="29"/>
      <c r="O10" s="29"/>
      <c r="P10" s="29"/>
    </row>
    <row r="11" spans="1:17" s="8" customFormat="1" x14ac:dyDescent="0.35">
      <c r="A11" s="27" t="s">
        <v>43</v>
      </c>
      <c r="B11" s="25" t="s">
        <v>5</v>
      </c>
      <c r="G11" s="32">
        <f>SUM(G12:G13)</f>
        <v>-117.6</v>
      </c>
      <c r="H11" s="32">
        <f t="shared" ref="H11:P11" si="1">SUM(H12:H13)</f>
        <v>-146.00312570528149</v>
      </c>
      <c r="I11" s="32">
        <f t="shared" si="1"/>
        <v>-188.09281270220563</v>
      </c>
      <c r="J11" s="32">
        <f t="shared" si="1"/>
        <v>-234.19458743273532</v>
      </c>
      <c r="K11" s="32">
        <f t="shared" si="1"/>
        <v>-284.54745843898343</v>
      </c>
      <c r="L11" s="32">
        <f t="shared" si="1"/>
        <v>-218.41763700155738</v>
      </c>
      <c r="M11" s="32">
        <f t="shared" si="1"/>
        <v>-139.09144978638565</v>
      </c>
      <c r="N11" s="32">
        <f t="shared" si="1"/>
        <v>-44.447886117577482</v>
      </c>
      <c r="O11" s="32">
        <f t="shared" si="1"/>
        <v>0</v>
      </c>
      <c r="P11" s="32">
        <f t="shared" si="1"/>
        <v>0</v>
      </c>
    </row>
    <row r="12" spans="1:17" s="8" customFormat="1" x14ac:dyDescent="0.35">
      <c r="A12" s="33" t="s">
        <v>44</v>
      </c>
      <c r="B12" s="25" t="s">
        <v>5</v>
      </c>
      <c r="C12" s="34"/>
      <c r="D12" s="34"/>
      <c r="E12" s="34"/>
      <c r="F12" s="34"/>
      <c r="G12" s="35">
        <f>-Расходы!G13*Доходы!G16*Доходы!G26</f>
        <v>-23.52</v>
      </c>
      <c r="H12" s="35">
        <f>-Расходы!H13*Доходы!H16*Доходы!H26</f>
        <v>-29.2006251410563</v>
      </c>
      <c r="I12" s="35">
        <f>-Расходы!I13*Доходы!I16*Доходы!I26</f>
        <v>-37.618562540441125</v>
      </c>
      <c r="J12" s="35">
        <f>-Расходы!J13*Доходы!J16*Доходы!J26</f>
        <v>-46.838917486547061</v>
      </c>
      <c r="K12" s="35">
        <f>-Расходы!K13*Доходы!K16*Доходы!K26</f>
        <v>-56.909491687796688</v>
      </c>
      <c r="L12" s="35">
        <f>-Расходы!L13*Доходы!L16*Доходы!L26</f>
        <v>-43.683527400311476</v>
      </c>
      <c r="M12" s="35">
        <f>-Расходы!M13*Доходы!M16*Доходы!M26</f>
        <v>-27.81828995727713</v>
      </c>
      <c r="N12" s="35">
        <f>-Расходы!N13*Доходы!N16*Доходы!N26</f>
        <v>-8.8895772235154968</v>
      </c>
      <c r="O12" s="35">
        <f>-Расходы!O13*Доходы!O16*Доходы!O26</f>
        <v>0</v>
      </c>
      <c r="P12" s="35">
        <f>-Расходы!P13*Доходы!P16*Доходы!P26</f>
        <v>0</v>
      </c>
    </row>
    <row r="13" spans="1:17" s="8" customFormat="1" x14ac:dyDescent="0.35">
      <c r="A13" s="33" t="s">
        <v>45</v>
      </c>
      <c r="B13" s="25" t="s">
        <v>5</v>
      </c>
      <c r="C13" s="34"/>
      <c r="D13" s="34"/>
      <c r="E13" s="34"/>
      <c r="F13" s="34"/>
      <c r="G13" s="35">
        <f>-Расходы!G13*Доходы!G16*Доходы!G27</f>
        <v>-94.08</v>
      </c>
      <c r="H13" s="35">
        <f>-Расходы!H13*Доходы!H16*Доходы!H27</f>
        <v>-116.8025005642252</v>
      </c>
      <c r="I13" s="35">
        <f>-Расходы!I13*Доходы!I16*Доходы!I27</f>
        <v>-150.4742501617645</v>
      </c>
      <c r="J13" s="35">
        <f>-Расходы!J13*Доходы!J16*Доходы!J27</f>
        <v>-187.35566994618824</v>
      </c>
      <c r="K13" s="35">
        <f>-Расходы!K13*Доходы!K16*Доходы!K27</f>
        <v>-227.63796675118675</v>
      </c>
      <c r="L13" s="35">
        <f>-Расходы!L13*Доходы!L16*Доходы!L27</f>
        <v>-174.7341096012459</v>
      </c>
      <c r="M13" s="35">
        <f>-Расходы!M13*Доходы!M16*Доходы!M27</f>
        <v>-111.27315982910852</v>
      </c>
      <c r="N13" s="35">
        <f>-Расходы!N13*Доходы!N16*Доходы!N27</f>
        <v>-35.558308894061987</v>
      </c>
      <c r="O13" s="35">
        <f>-Расходы!O13*Доходы!O16*Доходы!O27</f>
        <v>0</v>
      </c>
      <c r="P13" s="35">
        <f>-Расходы!P13*Доходы!P16*Доходы!P27</f>
        <v>0</v>
      </c>
    </row>
    <row r="14" spans="1:17" s="8" customFormat="1" x14ac:dyDescent="0.35">
      <c r="A14" s="39" t="s">
        <v>6</v>
      </c>
      <c r="B14" s="40" t="s">
        <v>5</v>
      </c>
      <c r="C14" s="41"/>
      <c r="D14" s="41"/>
      <c r="E14" s="41"/>
      <c r="F14" s="41"/>
      <c r="G14" s="43"/>
      <c r="H14" s="43"/>
      <c r="I14" s="43"/>
      <c r="J14" s="43"/>
      <c r="K14" s="43"/>
      <c r="L14" s="43"/>
      <c r="M14" s="43"/>
      <c r="N14" s="43"/>
      <c r="O14" s="43"/>
      <c r="P14" s="43"/>
    </row>
    <row r="15" spans="1:17" s="8" customFormat="1" x14ac:dyDescent="0.35">
      <c r="A15" s="31"/>
      <c r="B15" s="7"/>
      <c r="G15" s="29"/>
      <c r="H15" s="29"/>
      <c r="I15" s="29"/>
      <c r="J15" s="29"/>
      <c r="K15" s="29"/>
      <c r="L15" s="29"/>
      <c r="M15" s="29"/>
      <c r="N15" s="29"/>
      <c r="O15" s="29"/>
      <c r="P15" s="29"/>
    </row>
    <row r="16" spans="1:17" s="8" customFormat="1" x14ac:dyDescent="0.35">
      <c r="A16" s="26" t="s">
        <v>46</v>
      </c>
      <c r="B16" s="7"/>
      <c r="E16" s="30">
        <f t="shared" ref="E16:P16" si="2">SUM(E17:E21)</f>
        <v>0</v>
      </c>
      <c r="F16" s="30">
        <f t="shared" si="2"/>
        <v>0</v>
      </c>
      <c r="G16" s="30">
        <f t="shared" si="2"/>
        <v>-5712480.7999999998</v>
      </c>
      <c r="H16" s="30">
        <f t="shared" si="2"/>
        <v>-5732480.7999999998</v>
      </c>
      <c r="I16" s="30" t="e">
        <f t="shared" si="2"/>
        <v>#VALUE!</v>
      </c>
      <c r="J16" s="30" t="e">
        <f t="shared" si="2"/>
        <v>#VALUE!</v>
      </c>
      <c r="K16" s="30">
        <f t="shared" si="2"/>
        <v>-6950324.5120377466</v>
      </c>
      <c r="L16" s="30" t="e">
        <f t="shared" si="2"/>
        <v>#VALUE!</v>
      </c>
      <c r="M16" s="30">
        <f t="shared" si="2"/>
        <v>-6004870.8518937463</v>
      </c>
      <c r="N16" s="30" t="e">
        <f t="shared" si="2"/>
        <v>#VALUE!</v>
      </c>
      <c r="O16" s="30" t="e">
        <f t="shared" si="2"/>
        <v>#VALUE!</v>
      </c>
      <c r="P16" s="30">
        <f t="shared" si="2"/>
        <v>-14100988.463245526</v>
      </c>
      <c r="Q16" s="59" t="s">
        <v>61</v>
      </c>
    </row>
    <row r="17" spans="1:17" x14ac:dyDescent="0.35">
      <c r="A17" s="33" t="s">
        <v>37</v>
      </c>
      <c r="B17" s="25" t="s">
        <v>5</v>
      </c>
      <c r="C17" s="34"/>
      <c r="D17" s="34"/>
      <c r="E17" s="38"/>
      <c r="F17" s="38">
        <f>-Расходы!F19</f>
        <v>0</v>
      </c>
      <c r="G17" s="38">
        <f>-Расходы!G19</f>
        <v>-202480.8</v>
      </c>
      <c r="H17" s="38">
        <f>-Расходы!H19</f>
        <v>-202480.8</v>
      </c>
      <c r="I17" s="38">
        <f>-Расходы!I19</f>
        <v>-232852.91999999995</v>
      </c>
      <c r="J17" s="38">
        <f>-Расходы!J19</f>
        <v>-267780.85799999995</v>
      </c>
      <c r="K17" s="38">
        <f>-Расходы!K19</f>
        <v>-341367.15203774604</v>
      </c>
      <c r="L17" s="38">
        <f>-Расходы!L19</f>
        <v>-341367.15203774604</v>
      </c>
      <c r="M17" s="38">
        <f>-Расходы!M19</f>
        <v>-341367.15203774604</v>
      </c>
      <c r="N17" s="38">
        <f>-Расходы!N19</f>
        <v>-341367.15203774604</v>
      </c>
      <c r="O17" s="38">
        <f>-Расходы!O19</f>
        <v>-341367.15203774604</v>
      </c>
      <c r="P17" s="38">
        <f>-Расходы!P19</f>
        <v>-341367.15203774604</v>
      </c>
    </row>
    <row r="18" spans="1:17" x14ac:dyDescent="0.35">
      <c r="A18" s="33" t="s">
        <v>38</v>
      </c>
      <c r="B18" s="25" t="s">
        <v>5</v>
      </c>
      <c r="C18" s="34"/>
      <c r="D18" s="34"/>
      <c r="E18" s="38"/>
      <c r="F18" s="38">
        <f>-Расходы!F20</f>
        <v>0</v>
      </c>
      <c r="G18" s="38">
        <f>-Расходы!G20</f>
        <v>-5000000</v>
      </c>
      <c r="H18" s="38">
        <f>-Расходы!H20</f>
        <v>-5000000</v>
      </c>
      <c r="I18" s="38">
        <f>-Расходы!I20</f>
        <v>-5000000</v>
      </c>
      <c r="J18" s="38">
        <f>-Расходы!J20</f>
        <v>-5000000</v>
      </c>
      <c r="K18" s="38">
        <f>-Расходы!K20</f>
        <v>-5000000</v>
      </c>
      <c r="L18" s="38">
        <f>-Расходы!L20</f>
        <v>-5000000</v>
      </c>
      <c r="M18" s="38">
        <f>-Расходы!M20</f>
        <v>-5000000</v>
      </c>
      <c r="N18" s="38">
        <f>-Расходы!N20</f>
        <v>-5000000</v>
      </c>
      <c r="O18" s="38">
        <f>-Расходы!O20</f>
        <v>-5000000</v>
      </c>
      <c r="P18" s="38">
        <f>-Расходы!P20</f>
        <v>-5000000</v>
      </c>
    </row>
    <row r="19" spans="1:17" x14ac:dyDescent="0.35">
      <c r="A19" s="33" t="s">
        <v>54</v>
      </c>
      <c r="B19" s="25" t="s">
        <v>5</v>
      </c>
      <c r="C19" s="34"/>
      <c r="D19" s="34"/>
      <c r="E19" s="38"/>
      <c r="F19" s="38">
        <f>-Расходы!F21</f>
        <v>0</v>
      </c>
      <c r="G19" s="38">
        <f>-Расходы!G21</f>
        <v>-10000</v>
      </c>
      <c r="H19" s="38">
        <f>-Расходы!H21</f>
        <v>-5000</v>
      </c>
      <c r="I19" s="38">
        <f>-Расходы!I21</f>
        <v>-8000</v>
      </c>
      <c r="J19" s="38">
        <f>-Расходы!J21</f>
        <v>-10000</v>
      </c>
      <c r="K19" s="38">
        <f>-Расходы!K21</f>
        <v>-11000</v>
      </c>
      <c r="L19" s="38">
        <f>-Расходы!L21</f>
        <v>-10000</v>
      </c>
      <c r="M19" s="38">
        <f>-Расходы!M21</f>
        <v>-3000</v>
      </c>
      <c r="N19" s="38">
        <f>-Расходы!N21</f>
        <v>-3000</v>
      </c>
      <c r="O19" s="38">
        <f>-Расходы!O21</f>
        <v>-3000</v>
      </c>
      <c r="P19" s="38">
        <f>-Расходы!P21</f>
        <v>-3000</v>
      </c>
    </row>
    <row r="20" spans="1:17" x14ac:dyDescent="0.35">
      <c r="A20" s="74" t="s">
        <v>39</v>
      </c>
      <c r="B20" s="81" t="s">
        <v>5</v>
      </c>
      <c r="C20" s="82"/>
      <c r="D20" s="82"/>
      <c r="E20" s="83"/>
      <c r="F20" s="38">
        <f>-Расходы!F22</f>
        <v>0</v>
      </c>
      <c r="G20" s="38">
        <f>-Расходы!G22</f>
        <v>0</v>
      </c>
      <c r="H20" s="38">
        <f>-Расходы!H22</f>
        <v>0</v>
      </c>
      <c r="I20" s="38" t="e">
        <f>-Расходы!I22</f>
        <v>#VALUE!</v>
      </c>
      <c r="J20" s="38" t="e">
        <f>-Расходы!J22</f>
        <v>#VALUE!</v>
      </c>
      <c r="K20" s="38">
        <f>-Расходы!K22</f>
        <v>-1000000</v>
      </c>
      <c r="L20" s="38" t="e">
        <f>-Расходы!L22</f>
        <v>#VALUE!</v>
      </c>
      <c r="M20" s="38">
        <f>-Расходы!M22</f>
        <v>0</v>
      </c>
      <c r="N20" s="38" t="e">
        <f>-Расходы!N22</f>
        <v>#VALUE!</v>
      </c>
      <c r="O20" s="38" t="e">
        <f>-Расходы!O22</f>
        <v>#VALUE!</v>
      </c>
      <c r="P20" s="38">
        <f>-Расходы!P22</f>
        <v>-8000000</v>
      </c>
    </row>
    <row r="21" spans="1:17" x14ac:dyDescent="0.35">
      <c r="A21" s="39" t="s">
        <v>62</v>
      </c>
      <c r="B21" s="40" t="s">
        <v>5</v>
      </c>
      <c r="C21" s="41"/>
      <c r="D21" s="41"/>
      <c r="E21" s="42"/>
      <c r="F21" s="42">
        <f>-Расходы!F23</f>
        <v>0</v>
      </c>
      <c r="G21" s="42">
        <f>-Расходы!G23</f>
        <v>-500000</v>
      </c>
      <c r="H21" s="42">
        <f>-Расходы!H23</f>
        <v>-525000</v>
      </c>
      <c r="I21" s="42">
        <f>-Расходы!I23</f>
        <v>-550200</v>
      </c>
      <c r="J21" s="42">
        <f>-Расходы!J23</f>
        <v>-572208</v>
      </c>
      <c r="K21" s="42">
        <f>-Расходы!K23</f>
        <v>-597957.36</v>
      </c>
      <c r="L21" s="42">
        <f>-Расходы!L23</f>
        <v>-627855.228</v>
      </c>
      <c r="M21" s="42">
        <f>-Расходы!M23</f>
        <v>-660503.69985600002</v>
      </c>
      <c r="N21" s="42">
        <f>-Расходы!N23</f>
        <v>-694189.38854865602</v>
      </c>
      <c r="O21" s="42">
        <f>-Расходы!O23</f>
        <v>-725427.9110333455</v>
      </c>
      <c r="P21" s="42">
        <f>-Расходы!P23</f>
        <v>-756621.31120777933</v>
      </c>
    </row>
    <row r="22" spans="1:17" ht="9" customHeight="1" x14ac:dyDescent="0.35">
      <c r="A22" s="27"/>
      <c r="B22" s="25"/>
      <c r="E22" s="27"/>
      <c r="F22" s="27"/>
      <c r="G22" s="30"/>
      <c r="H22" s="30"/>
      <c r="I22" s="30"/>
      <c r="J22" s="30"/>
      <c r="K22" s="30"/>
      <c r="L22" s="30"/>
      <c r="M22" s="30"/>
      <c r="N22" s="30"/>
      <c r="O22" s="30"/>
      <c r="P22" s="30"/>
    </row>
    <row r="23" spans="1:17" ht="29" x14ac:dyDescent="0.35">
      <c r="A23" s="70" t="s">
        <v>74</v>
      </c>
      <c r="B23" s="40" t="s">
        <v>5</v>
      </c>
      <c r="C23" s="69"/>
      <c r="D23" s="46"/>
      <c r="E23" s="47">
        <f t="shared" ref="E23:P23" si="3">E16+E11+E6</f>
        <v>0</v>
      </c>
      <c r="F23" s="47">
        <f t="shared" si="3"/>
        <v>0</v>
      </c>
      <c r="G23" s="47">
        <f t="shared" si="3"/>
        <v>-5712358.3999999994</v>
      </c>
      <c r="H23" s="47">
        <f t="shared" si="3"/>
        <v>-5732206.8031257046</v>
      </c>
      <c r="I23" s="47" t="e">
        <f t="shared" si="3"/>
        <v>#VALUE!</v>
      </c>
      <c r="J23" s="47" t="e">
        <f t="shared" si="3"/>
        <v>#VALUE!</v>
      </c>
      <c r="K23" s="47">
        <f t="shared" si="3"/>
        <v>-6950150.1141561856</v>
      </c>
      <c r="L23" s="47" t="e">
        <f t="shared" si="3"/>
        <v>#VALUE!</v>
      </c>
      <c r="M23" s="47">
        <f t="shared" si="3"/>
        <v>-6004523.0482323263</v>
      </c>
      <c r="N23" s="47" t="e">
        <f t="shared" si="3"/>
        <v>#VALUE!</v>
      </c>
      <c r="O23" s="47" t="e">
        <f t="shared" si="3"/>
        <v>#VALUE!</v>
      </c>
      <c r="P23" s="47">
        <f t="shared" si="3"/>
        <v>-14100456.419811344</v>
      </c>
    </row>
    <row r="24" spans="1:17" ht="9" customHeight="1" x14ac:dyDescent="0.35">
      <c r="A24" s="27"/>
      <c r="B24" s="24"/>
      <c r="E24" s="27"/>
      <c r="F24" s="27"/>
      <c r="G24" s="30"/>
      <c r="H24" s="30"/>
      <c r="I24" s="30"/>
      <c r="J24" s="30"/>
      <c r="K24" s="30"/>
      <c r="L24" s="30"/>
      <c r="M24" s="30"/>
      <c r="N24" s="30"/>
      <c r="O24" s="30"/>
      <c r="P24" s="30"/>
    </row>
    <row r="25" spans="1:17" x14ac:dyDescent="0.35">
      <c r="A25" s="27" t="s">
        <v>47</v>
      </c>
      <c r="B25" s="24"/>
      <c r="E25" s="27"/>
      <c r="F25" s="27"/>
      <c r="G25" s="38">
        <v>-5</v>
      </c>
      <c r="H25" s="38">
        <v>-10</v>
      </c>
      <c r="I25" s="38">
        <v>-6</v>
      </c>
      <c r="J25" s="38">
        <v>-5</v>
      </c>
      <c r="K25" s="38">
        <v>0</v>
      </c>
      <c r="L25" s="38">
        <v>0</v>
      </c>
      <c r="M25" s="38">
        <v>0</v>
      </c>
      <c r="N25" s="38">
        <v>0</v>
      </c>
      <c r="O25" s="38">
        <v>0</v>
      </c>
      <c r="P25" s="38">
        <v>0</v>
      </c>
      <c r="Q25" s="59"/>
    </row>
    <row r="26" spans="1:17" s="46" customFormat="1" x14ac:dyDescent="0.35">
      <c r="A26" s="48" t="s">
        <v>42</v>
      </c>
      <c r="B26" s="45"/>
      <c r="E26" s="48"/>
      <c r="F26" s="48"/>
      <c r="G26" s="42">
        <v>-40</v>
      </c>
      <c r="H26" s="42">
        <v>-45</v>
      </c>
      <c r="I26" s="42">
        <v>-43</v>
      </c>
      <c r="J26" s="42">
        <v>-42</v>
      </c>
      <c r="K26" s="42">
        <v>-50</v>
      </c>
      <c r="L26" s="42">
        <v>-52</v>
      </c>
      <c r="M26" s="42">
        <v>-53</v>
      </c>
      <c r="N26" s="42">
        <v>-60</v>
      </c>
      <c r="O26" s="42">
        <v>-60</v>
      </c>
      <c r="P26" s="42">
        <v>-70</v>
      </c>
      <c r="Q26" s="60" t="s">
        <v>94</v>
      </c>
    </row>
    <row r="27" spans="1:17" x14ac:dyDescent="0.35">
      <c r="A27" s="27"/>
      <c r="B27" s="24"/>
      <c r="E27" s="27"/>
      <c r="F27" s="27"/>
      <c r="G27" s="30"/>
      <c r="H27" s="30"/>
      <c r="I27" s="30"/>
      <c r="J27" s="30"/>
      <c r="K27" s="30"/>
      <c r="L27" s="30"/>
      <c r="M27" s="30"/>
      <c r="N27" s="30"/>
      <c r="O27" s="30"/>
      <c r="P27" s="30"/>
    </row>
    <row r="28" spans="1:17" x14ac:dyDescent="0.35">
      <c r="A28" s="48" t="s">
        <v>53</v>
      </c>
      <c r="B28" s="46"/>
      <c r="C28" s="46"/>
      <c r="D28" s="46"/>
      <c r="E28" s="48">
        <v>-320</v>
      </c>
      <c r="F28" s="48">
        <v>-200</v>
      </c>
      <c r="G28" s="49">
        <v>-100</v>
      </c>
      <c r="H28" s="49">
        <v>0</v>
      </c>
      <c r="I28" s="49">
        <v>0</v>
      </c>
      <c r="J28" s="49">
        <v>0</v>
      </c>
      <c r="K28" s="49">
        <v>0</v>
      </c>
      <c r="L28" s="49">
        <v>-80</v>
      </c>
      <c r="M28" s="49">
        <v>0</v>
      </c>
      <c r="N28" s="49">
        <v>0</v>
      </c>
      <c r="O28" s="49">
        <v>0</v>
      </c>
      <c r="P28" s="49">
        <v>0</v>
      </c>
      <c r="Q28" s="60" t="s">
        <v>98</v>
      </c>
    </row>
    <row r="29" spans="1:17" x14ac:dyDescent="0.35">
      <c r="G29" s="16"/>
      <c r="H29" s="16"/>
      <c r="I29" s="16"/>
      <c r="J29" s="16"/>
      <c r="K29" s="16"/>
      <c r="L29" s="16"/>
      <c r="M29" s="16"/>
      <c r="N29" s="16"/>
      <c r="O29" s="16"/>
      <c r="P29" s="16"/>
    </row>
    <row r="30" spans="1:17" s="52" customFormat="1" x14ac:dyDescent="0.35">
      <c r="A30" s="50" t="s">
        <v>41</v>
      </c>
      <c r="B30" s="50"/>
      <c r="C30" s="50"/>
      <c r="D30" s="50"/>
      <c r="E30" s="51">
        <f>E28+E26+E25+E23</f>
        <v>-320</v>
      </c>
      <c r="F30" s="51">
        <f t="shared" ref="F30:P30" si="4">F28+F26+F25+F23</f>
        <v>-200</v>
      </c>
      <c r="G30" s="51">
        <f t="shared" si="4"/>
        <v>-5712503.3999999994</v>
      </c>
      <c r="H30" s="51">
        <f t="shared" si="4"/>
        <v>-5732261.8031257046</v>
      </c>
      <c r="I30" s="51" t="e">
        <f t="shared" si="4"/>
        <v>#VALUE!</v>
      </c>
      <c r="J30" s="51" t="e">
        <f t="shared" si="4"/>
        <v>#VALUE!</v>
      </c>
      <c r="K30" s="51">
        <f t="shared" si="4"/>
        <v>-6950200.1141561856</v>
      </c>
      <c r="L30" s="51" t="e">
        <f t="shared" si="4"/>
        <v>#VALUE!</v>
      </c>
      <c r="M30" s="51">
        <f t="shared" si="4"/>
        <v>-6004576.0482323263</v>
      </c>
      <c r="N30" s="51" t="e">
        <f t="shared" si="4"/>
        <v>#VALUE!</v>
      </c>
      <c r="O30" s="51" t="e">
        <f t="shared" si="4"/>
        <v>#VALUE!</v>
      </c>
      <c r="P30" s="51">
        <f t="shared" si="4"/>
        <v>-14100526.419811344</v>
      </c>
    </row>
    <row r="31" spans="1:17" x14ac:dyDescent="0.35">
      <c r="A31" s="50" t="s">
        <v>52</v>
      </c>
      <c r="E31" s="53">
        <f>SUM($E$30:E30)</f>
        <v>-320</v>
      </c>
      <c r="F31" s="53">
        <f>SUM($E$30:F30)</f>
        <v>-520</v>
      </c>
      <c r="G31" s="53">
        <f>SUM($E$30:G30)</f>
        <v>-5713023.3999999994</v>
      </c>
      <c r="H31" s="53">
        <f>SUM($E$30:H30)</f>
        <v>-11445285.203125704</v>
      </c>
      <c r="I31" s="53" t="e">
        <f>SUM($E$30:I30)</f>
        <v>#VALUE!</v>
      </c>
      <c r="J31" s="53" t="e">
        <f>SUM($E$30:J30)</f>
        <v>#VALUE!</v>
      </c>
      <c r="K31" s="53" t="e">
        <f>SUM($E$30:K30)</f>
        <v>#VALUE!</v>
      </c>
      <c r="L31" s="53" t="e">
        <f>SUM($E$30:L30)</f>
        <v>#VALUE!</v>
      </c>
      <c r="M31" s="53" t="e">
        <f>SUM($E$30:M30)</f>
        <v>#VALUE!</v>
      </c>
      <c r="N31" s="53" t="e">
        <f>SUM($E$30:N30)</f>
        <v>#VALUE!</v>
      </c>
      <c r="O31" s="53" t="e">
        <f>SUM($E$30:O30)</f>
        <v>#VALUE!</v>
      </c>
      <c r="P31" s="53" t="e">
        <f>SUM($E$30:P30)</f>
        <v>#VALUE!</v>
      </c>
    </row>
    <row r="32" spans="1:17" x14ac:dyDescent="0.35">
      <c r="A32" t="s">
        <v>48</v>
      </c>
      <c r="E32" s="20">
        <f>Assumptions!$G$34</f>
        <v>0.12</v>
      </c>
      <c r="F32" s="20">
        <f>Assumptions!$G$34</f>
        <v>0.12</v>
      </c>
      <c r="G32" s="20">
        <f>Assumptions!$G$34</f>
        <v>0.12</v>
      </c>
      <c r="H32" s="20">
        <f>Assumptions!$G$34</f>
        <v>0.12</v>
      </c>
      <c r="I32" s="20">
        <f>Assumptions!$G$34</f>
        <v>0.12</v>
      </c>
      <c r="J32" s="20">
        <f>Assumptions!$G$34</f>
        <v>0.12</v>
      </c>
      <c r="K32" s="20">
        <f>Assumptions!$G$34</f>
        <v>0.12</v>
      </c>
      <c r="L32" s="20">
        <f>Assumptions!$G$34</f>
        <v>0.12</v>
      </c>
      <c r="M32" s="20">
        <f>Assumptions!$G$34</f>
        <v>0.12</v>
      </c>
      <c r="N32" s="20">
        <f>Assumptions!$G$34</f>
        <v>0.12</v>
      </c>
      <c r="O32" s="20">
        <f>Assumptions!$G$34</f>
        <v>0.12</v>
      </c>
      <c r="P32" s="20">
        <f>Assumptions!$G$34</f>
        <v>0.12</v>
      </c>
    </row>
    <row r="33" spans="1:17" s="52" customFormat="1" x14ac:dyDescent="0.35">
      <c r="A33" s="50" t="s">
        <v>55</v>
      </c>
      <c r="B33" s="50"/>
      <c r="C33" s="50"/>
      <c r="D33" s="50"/>
      <c r="E33" s="51" t="e">
        <f>E30/(1+E32)^#REF!</f>
        <v>#REF!</v>
      </c>
      <c r="F33" s="51" t="e">
        <f>F30/(1+F32)^#REF!</f>
        <v>#REF!</v>
      </c>
      <c r="G33" s="51" t="e">
        <f>G30/(1+G32)^#REF!</f>
        <v>#REF!</v>
      </c>
      <c r="H33" s="51" t="e">
        <f>H30/(1+H32)^#REF!</f>
        <v>#REF!</v>
      </c>
      <c r="I33" s="51" t="e">
        <f>I30/(1+I32)^#REF!</f>
        <v>#VALUE!</v>
      </c>
      <c r="J33" s="51" t="e">
        <f>J30/(1+J32)^#REF!</f>
        <v>#VALUE!</v>
      </c>
      <c r="K33" s="51" t="e">
        <f>K30/(1+K32)^#REF!</f>
        <v>#REF!</v>
      </c>
      <c r="L33" s="51" t="e">
        <f>L30/(1+L32)^#REF!</f>
        <v>#VALUE!</v>
      </c>
      <c r="M33" s="51" t="e">
        <f>M30/(1+M32)^#REF!</f>
        <v>#REF!</v>
      </c>
      <c r="N33" s="51" t="e">
        <f>N30/(1+N32)^#REF!</f>
        <v>#VALUE!</v>
      </c>
      <c r="O33" s="51" t="e">
        <f>O30/(1+O32)^#REF!</f>
        <v>#VALUE!</v>
      </c>
      <c r="P33" s="51" t="e">
        <f>P30/(1+P32)^#REF!</f>
        <v>#REF!</v>
      </c>
    </row>
    <row r="34" spans="1:17" x14ac:dyDescent="0.35">
      <c r="A34" s="50" t="s">
        <v>56</v>
      </c>
      <c r="E34" s="53" t="e">
        <f>SUM($E$33:E33)</f>
        <v>#REF!</v>
      </c>
      <c r="F34" s="53" t="e">
        <f>SUM($E$33:F33)</f>
        <v>#REF!</v>
      </c>
      <c r="G34" s="53" t="e">
        <f>SUM($E$33:G33)</f>
        <v>#REF!</v>
      </c>
      <c r="H34" s="53" t="e">
        <f>SUM($E$33:H33)</f>
        <v>#REF!</v>
      </c>
      <c r="I34" s="53" t="e">
        <f>SUM($E$33:I33)</f>
        <v>#REF!</v>
      </c>
      <c r="J34" s="53" t="e">
        <f>SUM($E$33:J33)</f>
        <v>#REF!</v>
      </c>
      <c r="K34" s="53" t="e">
        <f>SUM($E$33:K33)</f>
        <v>#REF!</v>
      </c>
      <c r="L34" s="53" t="e">
        <f>SUM($E$33:L33)</f>
        <v>#REF!</v>
      </c>
      <c r="M34" s="53" t="e">
        <f>SUM($E$33:M33)</f>
        <v>#REF!</v>
      </c>
      <c r="N34" s="53" t="e">
        <f>SUM($E$33:N33)</f>
        <v>#REF!</v>
      </c>
      <c r="O34" s="53" t="e">
        <f>SUM($E$33:O33)</f>
        <v>#REF!</v>
      </c>
      <c r="P34" s="53" t="e">
        <f>SUM($E$33:P33)</f>
        <v>#REF!</v>
      </c>
    </row>
    <row r="35" spans="1:17" x14ac:dyDescent="0.35">
      <c r="A35" s="50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</row>
    <row r="36" spans="1:17" x14ac:dyDescent="0.35">
      <c r="A36" s="56" t="s">
        <v>59</v>
      </c>
      <c r="B36" s="57"/>
      <c r="C36" s="57"/>
      <c r="D36" s="57"/>
      <c r="E36" s="58" t="e">
        <f>(P33*(1+0.03))/(E32-3%)</f>
        <v>#REF!</v>
      </c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9" t="s">
        <v>60</v>
      </c>
    </row>
    <row r="37" spans="1:17" x14ac:dyDescent="0.35">
      <c r="A37" s="50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</row>
    <row r="38" spans="1:17" x14ac:dyDescent="0.35">
      <c r="A38" s="10" t="s">
        <v>49</v>
      </c>
      <c r="E38" s="54" t="e">
        <f>SUM(E33:P33)</f>
        <v>#REF!</v>
      </c>
    </row>
    <row r="39" spans="1:17" x14ac:dyDescent="0.35">
      <c r="A39" s="10" t="s">
        <v>50</v>
      </c>
      <c r="B39" s="10"/>
      <c r="C39" s="10"/>
      <c r="D39" s="10"/>
      <c r="E39" s="55" t="e">
        <f>IRR(E30:P30)</f>
        <v>#VALUE!</v>
      </c>
    </row>
    <row r="40" spans="1:17" x14ac:dyDescent="0.35">
      <c r="A40" s="10" t="s">
        <v>58</v>
      </c>
      <c r="E40" s="10" t="e">
        <f t="array" ref="E40">INDEX(#REF!,1,MATCH(TRUE,E31:P31&gt;0,0))</f>
        <v>#REF!</v>
      </c>
      <c r="Q40" s="52"/>
    </row>
    <row r="41" spans="1:17" x14ac:dyDescent="0.35">
      <c r="A41" s="10" t="s">
        <v>109</v>
      </c>
      <c r="E41" s="54" t="e">
        <f>MIN(E31:P31)</f>
        <v>#VALUE!</v>
      </c>
      <c r="H41" s="52"/>
    </row>
    <row r="42" spans="1:17" x14ac:dyDescent="0.35">
      <c r="A42" s="10" t="s">
        <v>110</v>
      </c>
      <c r="E42" s="10">
        <f>SUM(E28:P28)</f>
        <v>-700</v>
      </c>
      <c r="Q42" s="91" t="s">
        <v>98</v>
      </c>
    </row>
    <row r="46" spans="1:17" x14ac:dyDescent="0.35">
      <c r="F46" s="20"/>
    </row>
  </sheetData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6"/>
  <sheetViews>
    <sheetView zoomScale="85" zoomScaleNormal="85" workbookViewId="0">
      <pane xSplit="2" ySplit="3" topLeftCell="C79" activePane="bottomRight" state="frozen"/>
      <selection pane="topRight" activeCell="C1" sqref="C1"/>
      <selection pane="bottomLeft" activeCell="A5" sqref="A5"/>
      <selection pane="bottomRight" activeCell="D4" sqref="D4:S4"/>
    </sheetView>
  </sheetViews>
  <sheetFormatPr defaultRowHeight="14.5" x14ac:dyDescent="0.35"/>
  <cols>
    <col min="1" max="1" width="26.453125" customWidth="1"/>
    <col min="2" max="2" width="14.453125" customWidth="1"/>
    <col min="7" max="7" width="12.08984375" bestFit="1" customWidth="1"/>
    <col min="8" max="8" width="9.6328125" bestFit="1" customWidth="1"/>
    <col min="9" max="16" width="9.36328125" bestFit="1" customWidth="1"/>
  </cols>
  <sheetData>
    <row r="1" spans="1:18" x14ac:dyDescent="0.35">
      <c r="A1" s="4" t="s">
        <v>18</v>
      </c>
      <c r="B1" s="3"/>
    </row>
    <row r="2" spans="1:18" x14ac:dyDescent="0.35">
      <c r="G2" s="1" t="s">
        <v>1</v>
      </c>
    </row>
    <row r="3" spans="1:18" s="2" customFormat="1" x14ac:dyDescent="0.35">
      <c r="A3" s="5" t="s">
        <v>3</v>
      </c>
      <c r="B3" s="5" t="s">
        <v>2</v>
      </c>
      <c r="C3" s="5"/>
      <c r="D3" s="5"/>
      <c r="E3" s="5">
        <v>2019</v>
      </c>
      <c r="F3" s="5">
        <v>2020</v>
      </c>
      <c r="G3" s="5">
        <v>2021</v>
      </c>
      <c r="H3" s="5">
        <f>G3+1</f>
        <v>2022</v>
      </c>
      <c r="I3" s="5">
        <f t="shared" ref="I3:P3" si="0">H3+1</f>
        <v>2023</v>
      </c>
      <c r="J3" s="5">
        <f t="shared" si="0"/>
        <v>2024</v>
      </c>
      <c r="K3" s="5">
        <f t="shared" si="0"/>
        <v>2025</v>
      </c>
      <c r="L3" s="5">
        <f t="shared" si="0"/>
        <v>2026</v>
      </c>
      <c r="M3" s="5">
        <f t="shared" si="0"/>
        <v>2027</v>
      </c>
      <c r="N3" s="5">
        <f t="shared" si="0"/>
        <v>2028</v>
      </c>
      <c r="O3" s="5">
        <f t="shared" si="0"/>
        <v>2029</v>
      </c>
      <c r="P3" s="5">
        <f t="shared" si="0"/>
        <v>2030</v>
      </c>
    </row>
    <row r="4" spans="1:18" x14ac:dyDescent="0.35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35">
      <c r="C5" s="1"/>
      <c r="D5" s="1"/>
      <c r="E5" s="1"/>
      <c r="F5" s="1"/>
    </row>
    <row r="6" spans="1:18" s="9" customFormat="1" x14ac:dyDescent="0.35">
      <c r="A6" s="11" t="s">
        <v>18</v>
      </c>
      <c r="C6" s="12"/>
      <c r="D6" s="12"/>
      <c r="E6" s="12"/>
      <c r="F6" s="12"/>
    </row>
    <row r="7" spans="1:18" x14ac:dyDescent="0.35">
      <c r="C7" s="1"/>
      <c r="D7" s="1"/>
      <c r="E7" s="1"/>
      <c r="F7" s="1"/>
    </row>
    <row r="8" spans="1:18" x14ac:dyDescent="0.35">
      <c r="A8" t="s">
        <v>15</v>
      </c>
      <c r="B8" s="7" t="s">
        <v>5</v>
      </c>
      <c r="G8" s="15">
        <v>3000</v>
      </c>
      <c r="H8" s="15">
        <v>3200</v>
      </c>
      <c r="I8" s="15">
        <f>H8*(1+H10)</f>
        <v>3472</v>
      </c>
      <c r="J8" s="15">
        <f t="shared" ref="J8:P8" si="1">I8*(1+I10)</f>
        <v>3767.12</v>
      </c>
      <c r="K8" s="15">
        <f t="shared" si="1"/>
        <v>4087.3251999999998</v>
      </c>
      <c r="L8" s="15">
        <f t="shared" si="1"/>
        <v>4434.7478419999998</v>
      </c>
      <c r="M8" s="15">
        <f t="shared" si="1"/>
        <v>4811.7014085699993</v>
      </c>
      <c r="N8" s="15">
        <f t="shared" si="1"/>
        <v>5052.2864789984997</v>
      </c>
      <c r="O8" s="15">
        <f t="shared" si="1"/>
        <v>5304.9008029484248</v>
      </c>
      <c r="P8" s="15">
        <f t="shared" si="1"/>
        <v>5570.1458430958464</v>
      </c>
    </row>
    <row r="9" spans="1:18" x14ac:dyDescent="0.35">
      <c r="A9" t="s">
        <v>15</v>
      </c>
      <c r="B9" s="7" t="s">
        <v>17</v>
      </c>
      <c r="G9" s="63">
        <f>G8/Assumptions!F22</f>
        <v>3000</v>
      </c>
    </row>
    <row r="10" spans="1:18" x14ac:dyDescent="0.35">
      <c r="A10" s="7" t="s">
        <v>27</v>
      </c>
      <c r="B10" s="7" t="s">
        <v>9</v>
      </c>
      <c r="C10" s="7"/>
      <c r="D10" s="7"/>
      <c r="E10" s="7"/>
      <c r="F10" s="7"/>
      <c r="G10" s="17"/>
      <c r="H10" s="61">
        <f>Assumptions!G16</f>
        <v>8.5000000000000006E-2</v>
      </c>
      <c r="I10" s="17">
        <f>Assumptions!H16</f>
        <v>8.5000000000000006E-2</v>
      </c>
      <c r="J10" s="17">
        <f>Assumptions!I16</f>
        <v>8.5000000000000006E-2</v>
      </c>
      <c r="K10" s="17">
        <f>Assumptions!J16</f>
        <v>8.5000000000000006E-2</v>
      </c>
      <c r="L10" s="17">
        <f>Assumptions!K16</f>
        <v>8.5000000000000006E-2</v>
      </c>
      <c r="M10" s="17">
        <f>Assumptions!L16</f>
        <v>0.05</v>
      </c>
      <c r="N10" s="17">
        <f>Assumptions!M16</f>
        <v>0.05</v>
      </c>
      <c r="O10" s="17">
        <f>Assumptions!N16</f>
        <v>0.05</v>
      </c>
      <c r="P10" s="17">
        <f>Assumptions!O16</f>
        <v>0.05</v>
      </c>
    </row>
    <row r="12" spans="1:18" x14ac:dyDescent="0.35">
      <c r="A12" t="s">
        <v>16</v>
      </c>
      <c r="B12" s="7" t="s">
        <v>5</v>
      </c>
      <c r="G12">
        <v>1200</v>
      </c>
      <c r="H12">
        <f>G12*(1+H14)</f>
        <v>1332.0000000000002</v>
      </c>
      <c r="I12">
        <f t="shared" ref="I12:P12" si="2">H12*(1+I14)</f>
        <v>1491.8400000000004</v>
      </c>
      <c r="J12">
        <f t="shared" si="2"/>
        <v>1670.8608000000006</v>
      </c>
      <c r="K12">
        <f t="shared" si="2"/>
        <v>1871.3640960000009</v>
      </c>
      <c r="L12">
        <f t="shared" si="2"/>
        <v>1946.218659840001</v>
      </c>
      <c r="M12">
        <f t="shared" si="2"/>
        <v>2024.0674062336011</v>
      </c>
      <c r="N12">
        <f t="shared" si="2"/>
        <v>2105.030102482945</v>
      </c>
      <c r="O12">
        <f t="shared" si="2"/>
        <v>2189.2313065822627</v>
      </c>
      <c r="P12">
        <f t="shared" si="2"/>
        <v>2276.8005588455535</v>
      </c>
    </row>
    <row r="13" spans="1:18" x14ac:dyDescent="0.35">
      <c r="A13" t="s">
        <v>16</v>
      </c>
      <c r="B13" s="7" t="s">
        <v>17</v>
      </c>
      <c r="G13">
        <f>G12/Assumptions!F23</f>
        <v>300</v>
      </c>
    </row>
    <row r="14" spans="1:18" x14ac:dyDescent="0.35">
      <c r="A14" s="7" t="s">
        <v>27</v>
      </c>
      <c r="B14" s="7" t="s">
        <v>9</v>
      </c>
      <c r="C14" s="7"/>
      <c r="D14" s="7"/>
      <c r="E14" s="7"/>
      <c r="F14" s="7"/>
      <c r="G14" s="17"/>
      <c r="H14" s="61">
        <f>Assumptions!G17</f>
        <v>0.11</v>
      </c>
      <c r="I14" s="17">
        <f>Assumptions!H17</f>
        <v>0.12</v>
      </c>
      <c r="J14" s="17">
        <f>Assumptions!I17</f>
        <v>0.12</v>
      </c>
      <c r="K14" s="17">
        <f>Assumptions!J17</f>
        <v>0.12</v>
      </c>
      <c r="L14" s="17">
        <f>Assumptions!K17</f>
        <v>0.04</v>
      </c>
      <c r="M14" s="17">
        <f>Assumptions!L17</f>
        <v>0.04</v>
      </c>
      <c r="N14" s="17">
        <f>Assumptions!M17</f>
        <v>0.04</v>
      </c>
      <c r="O14" s="17">
        <f>Assumptions!N17</f>
        <v>0.04</v>
      </c>
      <c r="P14" s="17">
        <f>Assumptions!O17</f>
        <v>0.04</v>
      </c>
    </row>
    <row r="16" spans="1:18" s="9" customFormat="1" x14ac:dyDescent="0.35">
      <c r="A16" s="11" t="s">
        <v>68</v>
      </c>
      <c r="C16" s="12"/>
      <c r="D16" s="12"/>
      <c r="E16" s="12"/>
      <c r="F16" s="12"/>
    </row>
    <row r="18" spans="1:16" s="9" customFormat="1" x14ac:dyDescent="0.35">
      <c r="A18" s="65" t="s">
        <v>67</v>
      </c>
      <c r="C18" s="12"/>
      <c r="D18" s="12"/>
      <c r="E18" s="12"/>
      <c r="F18" s="12"/>
    </row>
    <row r="20" spans="1:16" x14ac:dyDescent="0.35">
      <c r="A20" t="s">
        <v>23</v>
      </c>
      <c r="B20" s="7" t="s">
        <v>17</v>
      </c>
      <c r="G20">
        <v>800</v>
      </c>
      <c r="H20">
        <f>G20*(1+H$14)</f>
        <v>888.00000000000011</v>
      </c>
      <c r="I20" s="72">
        <f t="shared" ref="I20:P20" si="3">H20*(1+I$14)</f>
        <v>994.56000000000017</v>
      </c>
      <c r="J20" s="72">
        <f t="shared" si="3"/>
        <v>1113.9072000000003</v>
      </c>
      <c r="K20" s="72">
        <f t="shared" si="3"/>
        <v>1247.5760640000005</v>
      </c>
      <c r="L20" s="72">
        <f t="shared" si="3"/>
        <v>1297.4791065600007</v>
      </c>
      <c r="M20" s="72">
        <f t="shared" si="3"/>
        <v>1349.3782708224007</v>
      </c>
      <c r="N20" s="72">
        <f t="shared" si="3"/>
        <v>1403.3534016552969</v>
      </c>
      <c r="O20" s="72">
        <f t="shared" si="3"/>
        <v>1459.4875377215089</v>
      </c>
      <c r="P20" s="72">
        <f t="shared" si="3"/>
        <v>1517.8670392303693</v>
      </c>
    </row>
    <row r="21" spans="1:16" x14ac:dyDescent="0.35">
      <c r="A21" s="13" t="s">
        <v>19</v>
      </c>
      <c r="B21" s="7" t="s">
        <v>17</v>
      </c>
      <c r="G21" s="64">
        <f>$G$20*Assumptions!E8</f>
        <v>480</v>
      </c>
      <c r="H21">
        <f t="shared" ref="H21:P25" si="4">H20*$G21/$G20</f>
        <v>532.80000000000007</v>
      </c>
      <c r="I21" s="72">
        <f t="shared" si="4"/>
        <v>596.7360000000001</v>
      </c>
      <c r="J21" s="72">
        <f t="shared" si="4"/>
        <v>668.34432000000015</v>
      </c>
      <c r="K21" s="72">
        <f t="shared" si="4"/>
        <v>748.54563840000037</v>
      </c>
      <c r="L21" s="72">
        <f t="shared" si="4"/>
        <v>778.48746393600038</v>
      </c>
      <c r="M21" s="72">
        <f t="shared" si="4"/>
        <v>809.62696249344037</v>
      </c>
      <c r="N21" s="72">
        <f t="shared" si="4"/>
        <v>842.01204099317806</v>
      </c>
      <c r="O21" s="72">
        <f t="shared" si="4"/>
        <v>875.69252263290537</v>
      </c>
      <c r="P21" s="72">
        <f t="shared" si="4"/>
        <v>910.7202235382216</v>
      </c>
    </row>
    <row r="22" spans="1:16" x14ac:dyDescent="0.35">
      <c r="A22" s="13" t="s">
        <v>20</v>
      </c>
      <c r="B22" s="7" t="s">
        <v>17</v>
      </c>
      <c r="G22" s="64">
        <f>$G$20*Assumptions!E9</f>
        <v>144</v>
      </c>
      <c r="H22">
        <f t="shared" si="4"/>
        <v>159.84000000000003</v>
      </c>
      <c r="I22" s="72">
        <f t="shared" si="4"/>
        <v>179.02080000000004</v>
      </c>
      <c r="J22" s="72">
        <f t="shared" si="4"/>
        <v>200.50329600000003</v>
      </c>
      <c r="K22" s="72">
        <f t="shared" si="4"/>
        <v>224.56369152000013</v>
      </c>
      <c r="L22" s="72">
        <f t="shared" si="4"/>
        <v>233.54623918080011</v>
      </c>
      <c r="M22" s="72">
        <f t="shared" si="4"/>
        <v>242.88808874803212</v>
      </c>
      <c r="N22" s="72">
        <f t="shared" si="4"/>
        <v>252.60361229795342</v>
      </c>
      <c r="O22" s="72">
        <f t="shared" si="4"/>
        <v>262.70775678987161</v>
      </c>
      <c r="P22" s="72">
        <f t="shared" si="4"/>
        <v>273.2160670614665</v>
      </c>
    </row>
    <row r="23" spans="1:16" x14ac:dyDescent="0.35">
      <c r="A23" s="13" t="s">
        <v>28</v>
      </c>
      <c r="B23" s="7" t="s">
        <v>17</v>
      </c>
      <c r="G23" s="64">
        <f>$G$20*Assumptions!E10</f>
        <v>120</v>
      </c>
      <c r="H23">
        <f>H22*$G23/$G22</f>
        <v>133.20000000000002</v>
      </c>
      <c r="I23" s="72">
        <f t="shared" si="4"/>
        <v>149.18400000000003</v>
      </c>
      <c r="J23" s="72">
        <f t="shared" si="4"/>
        <v>167.08608000000004</v>
      </c>
      <c r="K23" s="72">
        <f t="shared" si="4"/>
        <v>187.13640960000009</v>
      </c>
      <c r="L23" s="72">
        <f t="shared" si="4"/>
        <v>194.6218659840001</v>
      </c>
      <c r="M23" s="72">
        <f t="shared" si="4"/>
        <v>202.40674062336009</v>
      </c>
      <c r="N23" s="72">
        <f t="shared" si="4"/>
        <v>210.50301024829452</v>
      </c>
      <c r="O23" s="72">
        <f t="shared" si="4"/>
        <v>218.92313065822634</v>
      </c>
      <c r="P23" s="72">
        <f t="shared" si="4"/>
        <v>227.6800558845554</v>
      </c>
    </row>
    <row r="24" spans="1:16" x14ac:dyDescent="0.35">
      <c r="A24" s="13" t="s">
        <v>21</v>
      </c>
      <c r="B24" s="7" t="s">
        <v>17</v>
      </c>
      <c r="G24" s="64">
        <f>$G$20*Assumptions!E11</f>
        <v>40</v>
      </c>
      <c r="H24">
        <f t="shared" si="4"/>
        <v>44.400000000000006</v>
      </c>
      <c r="I24" s="72">
        <f t="shared" si="4"/>
        <v>49.728000000000002</v>
      </c>
      <c r="J24" s="72">
        <f t="shared" si="4"/>
        <v>55.695360000000015</v>
      </c>
      <c r="K24" s="72">
        <f t="shared" si="4"/>
        <v>62.378803200000029</v>
      </c>
      <c r="L24" s="72">
        <f t="shared" si="4"/>
        <v>64.873955328000037</v>
      </c>
      <c r="M24" s="72">
        <f t="shared" si="4"/>
        <v>67.468913541120031</v>
      </c>
      <c r="N24" s="72">
        <f t="shared" si="4"/>
        <v>70.167670082764829</v>
      </c>
      <c r="O24" s="72">
        <f t="shared" si="4"/>
        <v>72.974376886075461</v>
      </c>
      <c r="P24" s="72">
        <f t="shared" si="4"/>
        <v>75.893351961518462</v>
      </c>
    </row>
    <row r="25" spans="1:16" x14ac:dyDescent="0.35">
      <c r="A25" s="13" t="s">
        <v>22</v>
      </c>
      <c r="B25" s="7" t="s">
        <v>17</v>
      </c>
      <c r="G25" s="64">
        <f>$G$20*Assumptions!E12</f>
        <v>16</v>
      </c>
      <c r="H25">
        <f t="shared" si="4"/>
        <v>17.760000000000002</v>
      </c>
      <c r="I25" s="72">
        <f t="shared" si="4"/>
        <v>19.891200000000001</v>
      </c>
      <c r="J25" s="72">
        <f t="shared" si="4"/>
        <v>22.278144000000005</v>
      </c>
      <c r="K25" s="72">
        <f t="shared" si="4"/>
        <v>24.951521280000012</v>
      </c>
      <c r="L25" s="72">
        <f t="shared" si="4"/>
        <v>25.949582131200014</v>
      </c>
      <c r="M25" s="72">
        <f t="shared" si="4"/>
        <v>26.987565416448014</v>
      </c>
      <c r="N25" s="72">
        <f t="shared" si="4"/>
        <v>28.067068033105933</v>
      </c>
      <c r="O25" s="72">
        <f t="shared" si="4"/>
        <v>29.189750754430186</v>
      </c>
      <c r="P25" s="72">
        <f t="shared" si="4"/>
        <v>30.357340784607384</v>
      </c>
    </row>
    <row r="27" spans="1:16" x14ac:dyDescent="0.35">
      <c r="A27" t="s">
        <v>24</v>
      </c>
      <c r="B27" s="7" t="s">
        <v>17</v>
      </c>
      <c r="G27">
        <v>100</v>
      </c>
      <c r="H27">
        <f>G27*(1+H$14)</f>
        <v>111.00000000000001</v>
      </c>
      <c r="I27" s="72">
        <f t="shared" ref="I27:P27" si="5">H27*(1+I$14)</f>
        <v>124.32000000000002</v>
      </c>
      <c r="J27" s="72">
        <f t="shared" si="5"/>
        <v>139.23840000000004</v>
      </c>
      <c r="K27" s="72">
        <f t="shared" si="5"/>
        <v>155.94700800000007</v>
      </c>
      <c r="L27" s="72">
        <f t="shared" si="5"/>
        <v>162.18488832000008</v>
      </c>
      <c r="M27" s="72">
        <f t="shared" si="5"/>
        <v>168.67228385280009</v>
      </c>
      <c r="N27" s="72">
        <f t="shared" si="5"/>
        <v>175.41917520691212</v>
      </c>
      <c r="O27" s="72">
        <f t="shared" si="5"/>
        <v>182.43594221518862</v>
      </c>
      <c r="P27" s="72">
        <f t="shared" si="5"/>
        <v>189.73337990379616</v>
      </c>
    </row>
    <row r="28" spans="1:16" x14ac:dyDescent="0.35">
      <c r="A28" s="13" t="s">
        <v>19</v>
      </c>
      <c r="B28" s="7" t="s">
        <v>17</v>
      </c>
      <c r="G28" s="64">
        <f>$G$27*Assumptions!E8</f>
        <v>60</v>
      </c>
      <c r="H28">
        <f t="shared" ref="H28:P32" si="6">H27*$G28/$G27</f>
        <v>66.600000000000009</v>
      </c>
      <c r="I28" s="72">
        <f t="shared" si="6"/>
        <v>74.592000000000013</v>
      </c>
      <c r="J28" s="72">
        <f t="shared" si="6"/>
        <v>83.543040000000019</v>
      </c>
      <c r="K28" s="72">
        <f t="shared" si="6"/>
        <v>93.568204800000046</v>
      </c>
      <c r="L28" s="72">
        <f t="shared" si="6"/>
        <v>97.310932992000048</v>
      </c>
      <c r="M28" s="72">
        <f t="shared" si="6"/>
        <v>101.20337031168005</v>
      </c>
      <c r="N28" s="72">
        <f t="shared" si="6"/>
        <v>105.25150512414726</v>
      </c>
      <c r="O28" s="72">
        <f t="shared" si="6"/>
        <v>109.46156532911317</v>
      </c>
      <c r="P28" s="72">
        <f t="shared" si="6"/>
        <v>113.8400279422777</v>
      </c>
    </row>
    <row r="29" spans="1:16" x14ac:dyDescent="0.35">
      <c r="A29" s="13" t="s">
        <v>20</v>
      </c>
      <c r="B29" s="7" t="s">
        <v>17</v>
      </c>
      <c r="G29" s="64">
        <f>$G$27*Assumptions!E9</f>
        <v>18</v>
      </c>
      <c r="H29">
        <f t="shared" si="6"/>
        <v>19.980000000000004</v>
      </c>
      <c r="I29" s="72">
        <f t="shared" si="6"/>
        <v>22.377600000000005</v>
      </c>
      <c r="J29" s="72">
        <f t="shared" si="6"/>
        <v>25.062912000000004</v>
      </c>
      <c r="K29" s="72">
        <f t="shared" si="6"/>
        <v>28.070461440000017</v>
      </c>
      <c r="L29" s="72">
        <f t="shared" si="6"/>
        <v>29.193279897600014</v>
      </c>
      <c r="M29" s="72">
        <f t="shared" si="6"/>
        <v>30.361011093504015</v>
      </c>
      <c r="N29" s="72">
        <f t="shared" si="6"/>
        <v>31.575451537244177</v>
      </c>
      <c r="O29" s="72">
        <f t="shared" si="6"/>
        <v>32.838469598733951</v>
      </c>
      <c r="P29" s="72">
        <f t="shared" si="6"/>
        <v>34.152008382683313</v>
      </c>
    </row>
    <row r="30" spans="1:16" x14ac:dyDescent="0.35">
      <c r="A30" s="13" t="s">
        <v>28</v>
      </c>
      <c r="B30" s="7" t="s">
        <v>17</v>
      </c>
      <c r="G30" s="64">
        <f>$G$27*Assumptions!E10</f>
        <v>15</v>
      </c>
      <c r="H30">
        <f t="shared" si="6"/>
        <v>16.650000000000002</v>
      </c>
      <c r="I30" s="72">
        <f t="shared" si="6"/>
        <v>18.648000000000003</v>
      </c>
      <c r="J30" s="72">
        <f t="shared" si="6"/>
        <v>20.885760000000005</v>
      </c>
      <c r="K30" s="72">
        <f t="shared" si="6"/>
        <v>23.392051200000012</v>
      </c>
      <c r="L30" s="72">
        <f t="shared" si="6"/>
        <v>24.327733248000012</v>
      </c>
      <c r="M30" s="72">
        <f t="shared" si="6"/>
        <v>25.300842577920012</v>
      </c>
      <c r="N30" s="72">
        <f t="shared" si="6"/>
        <v>26.312876281036814</v>
      </c>
      <c r="O30" s="72">
        <f t="shared" si="6"/>
        <v>27.365391332278293</v>
      </c>
      <c r="P30" s="72">
        <f t="shared" si="6"/>
        <v>28.460006985569425</v>
      </c>
    </row>
    <row r="31" spans="1:16" x14ac:dyDescent="0.35">
      <c r="A31" s="13" t="s">
        <v>21</v>
      </c>
      <c r="B31" s="7" t="s">
        <v>17</v>
      </c>
      <c r="G31" s="64">
        <f>$G$27*Assumptions!E11</f>
        <v>5</v>
      </c>
      <c r="H31">
        <f t="shared" si="6"/>
        <v>5.5500000000000007</v>
      </c>
      <c r="I31" s="72">
        <f t="shared" si="6"/>
        <v>6.2160000000000002</v>
      </c>
      <c r="J31" s="72">
        <f t="shared" si="6"/>
        <v>6.9619200000000019</v>
      </c>
      <c r="K31" s="72">
        <f t="shared" si="6"/>
        <v>7.7973504000000036</v>
      </c>
      <c r="L31" s="72">
        <f t="shared" si="6"/>
        <v>8.1092444160000046</v>
      </c>
      <c r="M31" s="72">
        <f t="shared" si="6"/>
        <v>8.4336141926400039</v>
      </c>
      <c r="N31" s="72">
        <f t="shared" si="6"/>
        <v>8.7709587603456036</v>
      </c>
      <c r="O31" s="72">
        <f t="shared" si="6"/>
        <v>9.1217971107594327</v>
      </c>
      <c r="P31" s="72">
        <f t="shared" si="6"/>
        <v>9.4866689951898078</v>
      </c>
    </row>
    <row r="32" spans="1:16" x14ac:dyDescent="0.35">
      <c r="A32" s="13" t="s">
        <v>22</v>
      </c>
      <c r="B32" s="7" t="s">
        <v>17</v>
      </c>
      <c r="G32" s="64">
        <f>$G$27*Assumptions!E12</f>
        <v>2</v>
      </c>
      <c r="H32">
        <f t="shared" si="6"/>
        <v>2.2200000000000002</v>
      </c>
      <c r="I32" s="72">
        <f t="shared" si="6"/>
        <v>2.4864000000000002</v>
      </c>
      <c r="J32" s="72">
        <f t="shared" si="6"/>
        <v>2.7847680000000006</v>
      </c>
      <c r="K32" s="72">
        <f t="shared" si="6"/>
        <v>3.1189401600000015</v>
      </c>
      <c r="L32" s="72">
        <f t="shared" si="6"/>
        <v>3.2436977664000017</v>
      </c>
      <c r="M32" s="72">
        <f t="shared" si="6"/>
        <v>3.3734456770560017</v>
      </c>
      <c r="N32" s="72">
        <f t="shared" si="6"/>
        <v>3.5083835041382416</v>
      </c>
      <c r="O32" s="72">
        <f t="shared" si="6"/>
        <v>3.6487188443037732</v>
      </c>
      <c r="P32" s="72">
        <f t="shared" si="6"/>
        <v>3.794667598075923</v>
      </c>
    </row>
    <row r="33" spans="1:16" x14ac:dyDescent="0.35">
      <c r="I33" s="72"/>
      <c r="J33" s="72"/>
      <c r="K33" s="72"/>
      <c r="L33" s="72"/>
      <c r="M33" s="72"/>
      <c r="N33" s="72"/>
      <c r="O33" s="72"/>
      <c r="P33" s="72"/>
    </row>
    <row r="34" spans="1:16" x14ac:dyDescent="0.35">
      <c r="A34" t="s">
        <v>25</v>
      </c>
      <c r="B34" s="7" t="s">
        <v>17</v>
      </c>
      <c r="G34">
        <v>200</v>
      </c>
      <c r="H34">
        <f>G34*(1+H$14)</f>
        <v>222.00000000000003</v>
      </c>
      <c r="I34" s="72">
        <f t="shared" ref="I34:P34" si="7">H34*(1+I$14)</f>
        <v>248.64000000000004</v>
      </c>
      <c r="J34" s="72">
        <f t="shared" si="7"/>
        <v>278.47680000000008</v>
      </c>
      <c r="K34" s="72">
        <f t="shared" si="7"/>
        <v>311.89401600000014</v>
      </c>
      <c r="L34" s="72">
        <f t="shared" si="7"/>
        <v>324.36977664000017</v>
      </c>
      <c r="M34" s="72">
        <f t="shared" si="7"/>
        <v>337.34456770560018</v>
      </c>
      <c r="N34" s="72">
        <f t="shared" si="7"/>
        <v>350.83835041382423</v>
      </c>
      <c r="O34" s="72">
        <f t="shared" si="7"/>
        <v>364.87188443037724</v>
      </c>
      <c r="P34" s="72">
        <f t="shared" si="7"/>
        <v>379.46675980759233</v>
      </c>
    </row>
    <row r="35" spans="1:16" x14ac:dyDescent="0.35">
      <c r="A35" s="13" t="s">
        <v>19</v>
      </c>
      <c r="B35" s="7" t="s">
        <v>17</v>
      </c>
      <c r="G35" s="64">
        <f>$G$34*Assumptions!E8</f>
        <v>120</v>
      </c>
      <c r="H35">
        <f t="shared" ref="H35:P39" si="8">H34*$G35/$G34</f>
        <v>133.20000000000002</v>
      </c>
      <c r="I35" s="72">
        <f t="shared" si="8"/>
        <v>149.18400000000003</v>
      </c>
      <c r="J35" s="72">
        <f t="shared" si="8"/>
        <v>167.08608000000004</v>
      </c>
      <c r="K35" s="72">
        <f t="shared" si="8"/>
        <v>187.13640960000009</v>
      </c>
      <c r="L35" s="72">
        <f t="shared" si="8"/>
        <v>194.6218659840001</v>
      </c>
      <c r="M35" s="72">
        <f t="shared" si="8"/>
        <v>202.40674062336009</v>
      </c>
      <c r="N35" s="72">
        <f t="shared" si="8"/>
        <v>210.50301024829452</v>
      </c>
      <c r="O35" s="72">
        <f t="shared" si="8"/>
        <v>218.92313065822634</v>
      </c>
      <c r="P35" s="72">
        <f t="shared" si="8"/>
        <v>227.6800558845554</v>
      </c>
    </row>
    <row r="36" spans="1:16" x14ac:dyDescent="0.35">
      <c r="A36" s="13" t="s">
        <v>20</v>
      </c>
      <c r="B36" s="7" t="s">
        <v>17</v>
      </c>
      <c r="G36" s="64">
        <f>$G$34*Assumptions!E9</f>
        <v>36</v>
      </c>
      <c r="H36">
        <f t="shared" si="8"/>
        <v>39.960000000000008</v>
      </c>
      <c r="I36" s="72">
        <f t="shared" si="8"/>
        <v>44.755200000000009</v>
      </c>
      <c r="J36" s="72">
        <f t="shared" si="8"/>
        <v>50.125824000000009</v>
      </c>
      <c r="K36" s="72">
        <f t="shared" si="8"/>
        <v>56.140922880000034</v>
      </c>
      <c r="L36" s="72">
        <f t="shared" si="8"/>
        <v>58.386559795200029</v>
      </c>
      <c r="M36" s="72">
        <f t="shared" si="8"/>
        <v>60.722022187008029</v>
      </c>
      <c r="N36" s="72">
        <f t="shared" si="8"/>
        <v>63.150903074488355</v>
      </c>
      <c r="O36" s="72">
        <f t="shared" si="8"/>
        <v>65.676939197467902</v>
      </c>
      <c r="P36" s="72">
        <f t="shared" si="8"/>
        <v>68.304016765366626</v>
      </c>
    </row>
    <row r="37" spans="1:16" x14ac:dyDescent="0.35">
      <c r="A37" s="13" t="s">
        <v>28</v>
      </c>
      <c r="B37" s="7" t="s">
        <v>17</v>
      </c>
      <c r="G37" s="64">
        <f>$G$34*Assumptions!E10</f>
        <v>30</v>
      </c>
      <c r="H37">
        <f t="shared" si="8"/>
        <v>33.300000000000004</v>
      </c>
      <c r="I37" s="72">
        <f t="shared" si="8"/>
        <v>37.296000000000006</v>
      </c>
      <c r="J37" s="72">
        <f t="shared" si="8"/>
        <v>41.77152000000001</v>
      </c>
      <c r="K37" s="72">
        <f t="shared" si="8"/>
        <v>46.784102400000023</v>
      </c>
      <c r="L37" s="72">
        <f t="shared" si="8"/>
        <v>48.655466496000024</v>
      </c>
      <c r="M37" s="72">
        <f t="shared" si="8"/>
        <v>50.601685155840023</v>
      </c>
      <c r="N37" s="72">
        <f t="shared" si="8"/>
        <v>52.625752562073629</v>
      </c>
      <c r="O37" s="72">
        <f t="shared" si="8"/>
        <v>54.730782664556585</v>
      </c>
      <c r="P37" s="72">
        <f t="shared" si="8"/>
        <v>56.92001397113885</v>
      </c>
    </row>
    <row r="38" spans="1:16" x14ac:dyDescent="0.35">
      <c r="A38" s="13" t="s">
        <v>21</v>
      </c>
      <c r="B38" s="7" t="s">
        <v>17</v>
      </c>
      <c r="G38" s="64">
        <f>$G$34*Assumptions!E11</f>
        <v>10</v>
      </c>
      <c r="H38">
        <f t="shared" si="8"/>
        <v>11.100000000000001</v>
      </c>
      <c r="I38" s="72">
        <f t="shared" si="8"/>
        <v>12.432</v>
      </c>
      <c r="J38" s="72">
        <f t="shared" si="8"/>
        <v>13.923840000000004</v>
      </c>
      <c r="K38" s="72">
        <f t="shared" si="8"/>
        <v>15.594700800000007</v>
      </c>
      <c r="L38" s="72">
        <f t="shared" si="8"/>
        <v>16.218488832000009</v>
      </c>
      <c r="M38" s="72">
        <f t="shared" si="8"/>
        <v>16.867228385280008</v>
      </c>
      <c r="N38" s="72">
        <f t="shared" si="8"/>
        <v>17.541917520691207</v>
      </c>
      <c r="O38" s="72">
        <f t="shared" si="8"/>
        <v>18.243594221518865</v>
      </c>
      <c r="P38" s="72">
        <f t="shared" si="8"/>
        <v>18.973337990379616</v>
      </c>
    </row>
    <row r="39" spans="1:16" x14ac:dyDescent="0.35">
      <c r="A39" s="13" t="s">
        <v>22</v>
      </c>
      <c r="B39" s="7" t="s">
        <v>17</v>
      </c>
      <c r="G39" s="64">
        <f>$G$34*Assumptions!E12</f>
        <v>4</v>
      </c>
      <c r="H39">
        <f t="shared" si="8"/>
        <v>4.4400000000000004</v>
      </c>
      <c r="I39" s="72">
        <f t="shared" si="8"/>
        <v>4.9728000000000003</v>
      </c>
      <c r="J39" s="72">
        <f t="shared" si="8"/>
        <v>5.5695360000000012</v>
      </c>
      <c r="K39" s="72">
        <f t="shared" si="8"/>
        <v>6.237880320000003</v>
      </c>
      <c r="L39" s="72">
        <f t="shared" si="8"/>
        <v>6.4873955328000035</v>
      </c>
      <c r="M39" s="72">
        <f t="shared" si="8"/>
        <v>6.7468913541120035</v>
      </c>
      <c r="N39" s="72">
        <f t="shared" si="8"/>
        <v>7.0167670082764833</v>
      </c>
      <c r="O39" s="72">
        <f t="shared" si="8"/>
        <v>7.2974376886075465</v>
      </c>
      <c r="P39" s="72">
        <f t="shared" si="8"/>
        <v>7.589335196151846</v>
      </c>
    </row>
    <row r="40" spans="1:16" x14ac:dyDescent="0.35">
      <c r="I40" s="72"/>
      <c r="J40" s="72"/>
      <c r="K40" s="72"/>
      <c r="L40" s="72"/>
      <c r="M40" s="72"/>
      <c r="N40" s="72"/>
      <c r="O40" s="72"/>
      <c r="P40" s="72"/>
    </row>
    <row r="41" spans="1:16" x14ac:dyDescent="0.35">
      <c r="A41" t="s">
        <v>26</v>
      </c>
      <c r="B41" s="7" t="s">
        <v>17</v>
      </c>
      <c r="G41">
        <v>100</v>
      </c>
      <c r="H41">
        <f>G41*(1+H$14)</f>
        <v>111.00000000000001</v>
      </c>
      <c r="I41" s="72">
        <f t="shared" ref="I41:P41" si="9">H41*(1+I$14)</f>
        <v>124.32000000000002</v>
      </c>
      <c r="J41" s="72">
        <f t="shared" si="9"/>
        <v>139.23840000000004</v>
      </c>
      <c r="K41" s="72">
        <f t="shared" si="9"/>
        <v>155.94700800000007</v>
      </c>
      <c r="L41" s="72">
        <f t="shared" si="9"/>
        <v>162.18488832000008</v>
      </c>
      <c r="M41" s="72">
        <f t="shared" si="9"/>
        <v>168.67228385280009</v>
      </c>
      <c r="N41" s="72">
        <f t="shared" si="9"/>
        <v>175.41917520691212</v>
      </c>
      <c r="O41" s="72">
        <f t="shared" si="9"/>
        <v>182.43594221518862</v>
      </c>
      <c r="P41" s="72">
        <f t="shared" si="9"/>
        <v>189.73337990379616</v>
      </c>
    </row>
    <row r="42" spans="1:16" x14ac:dyDescent="0.35">
      <c r="A42" s="13" t="s">
        <v>19</v>
      </c>
      <c r="B42" s="7" t="s">
        <v>17</v>
      </c>
      <c r="G42" s="64">
        <f>$G$41*Assumptions!E8</f>
        <v>60</v>
      </c>
      <c r="H42">
        <f t="shared" ref="H42:P46" si="10">H41*$G42/$G41</f>
        <v>66.600000000000009</v>
      </c>
      <c r="I42" s="72">
        <f t="shared" si="10"/>
        <v>74.592000000000013</v>
      </c>
      <c r="J42" s="72">
        <f t="shared" si="10"/>
        <v>83.543040000000019</v>
      </c>
      <c r="K42" s="72">
        <f t="shared" si="10"/>
        <v>93.568204800000046</v>
      </c>
      <c r="L42" s="72">
        <f t="shared" si="10"/>
        <v>97.310932992000048</v>
      </c>
      <c r="M42" s="72">
        <f t="shared" si="10"/>
        <v>101.20337031168005</v>
      </c>
      <c r="N42" s="72">
        <f t="shared" si="10"/>
        <v>105.25150512414726</v>
      </c>
      <c r="O42" s="72">
        <f t="shared" si="10"/>
        <v>109.46156532911317</v>
      </c>
      <c r="P42" s="72">
        <f t="shared" si="10"/>
        <v>113.8400279422777</v>
      </c>
    </row>
    <row r="43" spans="1:16" x14ac:dyDescent="0.35">
      <c r="A43" s="13" t="s">
        <v>20</v>
      </c>
      <c r="B43" s="7" t="s">
        <v>17</v>
      </c>
      <c r="G43" s="64">
        <f>$G$41*Assumptions!E9</f>
        <v>18</v>
      </c>
      <c r="H43">
        <f t="shared" si="10"/>
        <v>19.980000000000004</v>
      </c>
      <c r="I43" s="72">
        <f t="shared" si="10"/>
        <v>22.377600000000005</v>
      </c>
      <c r="J43" s="72">
        <f t="shared" si="10"/>
        <v>25.062912000000004</v>
      </c>
      <c r="K43" s="72">
        <f t="shared" si="10"/>
        <v>28.070461440000017</v>
      </c>
      <c r="L43" s="72">
        <f t="shared" si="10"/>
        <v>29.193279897600014</v>
      </c>
      <c r="M43" s="72">
        <f t="shared" si="10"/>
        <v>30.361011093504015</v>
      </c>
      <c r="N43" s="72">
        <f t="shared" si="10"/>
        <v>31.575451537244177</v>
      </c>
      <c r="O43" s="72">
        <f t="shared" si="10"/>
        <v>32.838469598733951</v>
      </c>
      <c r="P43" s="72">
        <f t="shared" si="10"/>
        <v>34.152008382683313</v>
      </c>
    </row>
    <row r="44" spans="1:16" x14ac:dyDescent="0.35">
      <c r="A44" s="13" t="s">
        <v>28</v>
      </c>
      <c r="B44" s="7" t="s">
        <v>17</v>
      </c>
      <c r="G44" s="64">
        <f>$G$41*Assumptions!E10</f>
        <v>15</v>
      </c>
      <c r="H44">
        <f t="shared" si="10"/>
        <v>16.650000000000002</v>
      </c>
      <c r="I44" s="72">
        <f t="shared" si="10"/>
        <v>18.648000000000003</v>
      </c>
      <c r="J44" s="72">
        <f t="shared" si="10"/>
        <v>20.885760000000005</v>
      </c>
      <c r="K44" s="72">
        <f t="shared" si="10"/>
        <v>23.392051200000012</v>
      </c>
      <c r="L44" s="72">
        <f t="shared" si="10"/>
        <v>24.327733248000012</v>
      </c>
      <c r="M44" s="72">
        <f t="shared" si="10"/>
        <v>25.300842577920012</v>
      </c>
      <c r="N44" s="72">
        <f t="shared" si="10"/>
        <v>26.312876281036814</v>
      </c>
      <c r="O44" s="72">
        <f t="shared" si="10"/>
        <v>27.365391332278293</v>
      </c>
      <c r="P44" s="72">
        <f t="shared" si="10"/>
        <v>28.460006985569425</v>
      </c>
    </row>
    <row r="45" spans="1:16" x14ac:dyDescent="0.35">
      <c r="A45" s="13" t="s">
        <v>21</v>
      </c>
      <c r="B45" s="7" t="s">
        <v>17</v>
      </c>
      <c r="G45" s="64">
        <f>$G$41*Assumptions!E11</f>
        <v>5</v>
      </c>
      <c r="H45">
        <f t="shared" si="10"/>
        <v>5.5500000000000007</v>
      </c>
      <c r="I45" s="72">
        <f t="shared" si="10"/>
        <v>6.2160000000000002</v>
      </c>
      <c r="J45" s="72">
        <f t="shared" si="10"/>
        <v>6.9619200000000019</v>
      </c>
      <c r="K45" s="72">
        <f t="shared" si="10"/>
        <v>7.7973504000000036</v>
      </c>
      <c r="L45" s="72">
        <f t="shared" si="10"/>
        <v>8.1092444160000046</v>
      </c>
      <c r="M45" s="72">
        <f t="shared" si="10"/>
        <v>8.4336141926400039</v>
      </c>
      <c r="N45" s="72">
        <f t="shared" si="10"/>
        <v>8.7709587603456036</v>
      </c>
      <c r="O45" s="72">
        <f t="shared" si="10"/>
        <v>9.1217971107594327</v>
      </c>
      <c r="P45" s="72">
        <f t="shared" si="10"/>
        <v>9.4866689951898078</v>
      </c>
    </row>
    <row r="46" spans="1:16" x14ac:dyDescent="0.35">
      <c r="A46" s="13" t="s">
        <v>22</v>
      </c>
      <c r="B46" s="7" t="s">
        <v>17</v>
      </c>
      <c r="G46" s="64">
        <f>$G$41*Assumptions!E12</f>
        <v>2</v>
      </c>
      <c r="H46">
        <f t="shared" si="10"/>
        <v>2.2200000000000002</v>
      </c>
      <c r="I46" s="72">
        <f t="shared" si="10"/>
        <v>2.4864000000000002</v>
      </c>
      <c r="J46" s="72">
        <f t="shared" si="10"/>
        <v>2.7847680000000006</v>
      </c>
      <c r="K46" s="72">
        <f t="shared" si="10"/>
        <v>3.1189401600000015</v>
      </c>
      <c r="L46" s="72">
        <f t="shared" si="10"/>
        <v>3.2436977664000017</v>
      </c>
      <c r="M46" s="72">
        <f t="shared" si="10"/>
        <v>3.3734456770560017</v>
      </c>
      <c r="N46" s="72">
        <f t="shared" si="10"/>
        <v>3.5083835041382416</v>
      </c>
      <c r="O46" s="72">
        <f t="shared" si="10"/>
        <v>3.6487188443037732</v>
      </c>
      <c r="P46" s="72">
        <f t="shared" si="10"/>
        <v>3.794667598075923</v>
      </c>
    </row>
    <row r="47" spans="1:16" x14ac:dyDescent="0.35">
      <c r="A47" s="22" t="s">
        <v>36</v>
      </c>
      <c r="G47" s="23"/>
    </row>
    <row r="48" spans="1:16" x14ac:dyDescent="0.35">
      <c r="A48" s="22"/>
      <c r="G48" s="23"/>
    </row>
    <row r="49" spans="1:16" x14ac:dyDescent="0.35">
      <c r="A49" s="22"/>
      <c r="G49" s="23"/>
    </row>
    <row r="50" spans="1:16" s="9" customFormat="1" x14ac:dyDescent="0.35">
      <c r="A50" s="11" t="s">
        <v>69</v>
      </c>
      <c r="C50" s="12"/>
      <c r="D50" s="12"/>
      <c r="E50" s="12"/>
      <c r="F50" s="12"/>
    </row>
    <row r="51" spans="1:16" x14ac:dyDescent="0.35">
      <c r="A51" s="22"/>
      <c r="G51" s="23"/>
    </row>
    <row r="52" spans="1:16" s="9" customFormat="1" x14ac:dyDescent="0.35">
      <c r="A52" s="65" t="s">
        <v>67</v>
      </c>
      <c r="C52" s="12"/>
      <c r="D52" s="12"/>
      <c r="E52" s="12"/>
      <c r="F52" s="12"/>
    </row>
    <row r="53" spans="1:16" x14ac:dyDescent="0.35">
      <c r="A53" s="22"/>
      <c r="G53" s="23"/>
    </row>
    <row r="54" spans="1:16" x14ac:dyDescent="0.35">
      <c r="A54" s="66" t="s">
        <v>70</v>
      </c>
      <c r="G54" s="23"/>
    </row>
    <row r="55" spans="1:16" x14ac:dyDescent="0.35">
      <c r="A55" t="s">
        <v>23</v>
      </c>
      <c r="B55" s="7" t="s">
        <v>17</v>
      </c>
      <c r="G55" s="23">
        <v>430</v>
      </c>
      <c r="H55" s="63">
        <f>G55*(1+($P$55/$G$55)^(1/9)-1)</f>
        <v>466.26396145244922</v>
      </c>
      <c r="I55" s="63">
        <f t="shared" ref="I55:O55" si="11">H55*(1+($P$55/$G$55)^(1/9)-1)</f>
        <v>505.58623662635131</v>
      </c>
      <c r="J55" s="63">
        <f t="shared" si="11"/>
        <v>548.22474777962316</v>
      </c>
      <c r="K55" s="63">
        <f t="shared" si="11"/>
        <v>594.4591689906905</v>
      </c>
      <c r="L55" s="63">
        <f t="shared" si="11"/>
        <v>644.59276059379147</v>
      </c>
      <c r="M55" s="63">
        <f t="shared" si="11"/>
        <v>698.95435832100327</v>
      </c>
      <c r="N55" s="63">
        <f t="shared" si="11"/>
        <v>757.90053019815264</v>
      </c>
      <c r="O55" s="63">
        <f t="shared" si="11"/>
        <v>821.81791534209833</v>
      </c>
      <c r="P55" s="67">
        <f>J20*80%</f>
        <v>891.12576000000035</v>
      </c>
    </row>
    <row r="56" spans="1:16" x14ac:dyDescent="0.35">
      <c r="A56" t="s">
        <v>24</v>
      </c>
      <c r="B56" s="7" t="s">
        <v>17</v>
      </c>
      <c r="G56" s="23">
        <v>0</v>
      </c>
      <c r="H56" s="23">
        <v>0</v>
      </c>
      <c r="I56" s="23">
        <v>0</v>
      </c>
      <c r="J56" s="23">
        <v>0</v>
      </c>
      <c r="K56" s="23">
        <v>0</v>
      </c>
      <c r="L56" s="23">
        <v>0</v>
      </c>
      <c r="M56" s="23">
        <v>0</v>
      </c>
      <c r="N56" s="23">
        <v>0</v>
      </c>
      <c r="O56" s="23">
        <v>0</v>
      </c>
      <c r="P56" s="23">
        <v>0</v>
      </c>
    </row>
    <row r="57" spans="1:16" x14ac:dyDescent="0.35">
      <c r="A57" t="s">
        <v>25</v>
      </c>
      <c r="B57" s="7" t="s">
        <v>17</v>
      </c>
      <c r="G57" s="23">
        <v>0</v>
      </c>
      <c r="H57" s="23">
        <v>0</v>
      </c>
      <c r="I57" s="23">
        <v>0</v>
      </c>
      <c r="J57" s="23">
        <v>0</v>
      </c>
      <c r="K57" s="23">
        <v>0</v>
      </c>
      <c r="L57" s="23">
        <v>0</v>
      </c>
      <c r="M57" s="23">
        <v>0</v>
      </c>
      <c r="N57" s="23">
        <v>0</v>
      </c>
      <c r="O57" s="23">
        <v>0</v>
      </c>
      <c r="P57" s="23">
        <v>0</v>
      </c>
    </row>
    <row r="58" spans="1:16" x14ac:dyDescent="0.35">
      <c r="A58" t="s">
        <v>26</v>
      </c>
      <c r="B58" s="7" t="s">
        <v>17</v>
      </c>
      <c r="G58" s="23">
        <v>90</v>
      </c>
      <c r="H58" s="63">
        <f>H41*$G$58/$G$41</f>
        <v>99.90000000000002</v>
      </c>
      <c r="I58" s="63">
        <f t="shared" ref="I58:P58" si="12">I41*$G$58/$G$41</f>
        <v>111.88800000000001</v>
      </c>
      <c r="J58" s="63">
        <f t="shared" si="12"/>
        <v>125.31456000000004</v>
      </c>
      <c r="K58" s="63">
        <f t="shared" si="12"/>
        <v>140.35230720000007</v>
      </c>
      <c r="L58" s="63">
        <f t="shared" si="12"/>
        <v>145.96639948800009</v>
      </c>
      <c r="M58" s="63">
        <f t="shared" si="12"/>
        <v>151.80505546752008</v>
      </c>
      <c r="N58" s="63">
        <f t="shared" si="12"/>
        <v>157.8772576862209</v>
      </c>
      <c r="O58" s="63">
        <f t="shared" si="12"/>
        <v>164.19234799366976</v>
      </c>
      <c r="P58" s="63">
        <f t="shared" si="12"/>
        <v>170.76004191341653</v>
      </c>
    </row>
    <row r="59" spans="1:16" x14ac:dyDescent="0.35">
      <c r="G59" s="23"/>
    </row>
    <row r="60" spans="1:16" x14ac:dyDescent="0.35">
      <c r="A60" s="66" t="s">
        <v>72</v>
      </c>
      <c r="G60" s="23"/>
    </row>
    <row r="61" spans="1:16" x14ac:dyDescent="0.35">
      <c r="A61" t="s">
        <v>23</v>
      </c>
      <c r="B61" s="7" t="s">
        <v>17</v>
      </c>
      <c r="G61" s="68">
        <f>G20*15%</f>
        <v>120</v>
      </c>
      <c r="H61" s="68">
        <f t="shared" ref="H61:P61" si="13">H20*15%</f>
        <v>133.20000000000002</v>
      </c>
      <c r="I61" s="68">
        <f t="shared" si="13"/>
        <v>149.18400000000003</v>
      </c>
      <c r="J61" s="68">
        <f t="shared" si="13"/>
        <v>167.08608000000004</v>
      </c>
      <c r="K61" s="68">
        <f t="shared" si="13"/>
        <v>187.13640960000006</v>
      </c>
      <c r="L61" s="68">
        <f t="shared" si="13"/>
        <v>194.6218659840001</v>
      </c>
      <c r="M61" s="68">
        <f t="shared" si="13"/>
        <v>202.40674062336009</v>
      </c>
      <c r="N61" s="68">
        <f t="shared" si="13"/>
        <v>210.50301024829454</v>
      </c>
      <c r="O61" s="68">
        <f t="shared" si="13"/>
        <v>218.92313065822634</v>
      </c>
      <c r="P61" s="68">
        <f t="shared" si="13"/>
        <v>227.6800558845554</v>
      </c>
    </row>
    <row r="62" spans="1:16" x14ac:dyDescent="0.35">
      <c r="A62" t="s">
        <v>24</v>
      </c>
      <c r="B62" s="7" t="s">
        <v>17</v>
      </c>
      <c r="G62" s="68">
        <f>G27*15%</f>
        <v>15</v>
      </c>
      <c r="H62" s="68">
        <f t="shared" ref="H62:P62" si="14">H27*15%</f>
        <v>16.650000000000002</v>
      </c>
      <c r="I62" s="68">
        <f t="shared" si="14"/>
        <v>18.648000000000003</v>
      </c>
      <c r="J62" s="68">
        <f t="shared" si="14"/>
        <v>20.885760000000005</v>
      </c>
      <c r="K62" s="68">
        <f t="shared" si="14"/>
        <v>23.392051200000008</v>
      </c>
      <c r="L62" s="68">
        <f t="shared" si="14"/>
        <v>24.327733248000012</v>
      </c>
      <c r="M62" s="68">
        <f t="shared" si="14"/>
        <v>25.300842577920012</v>
      </c>
      <c r="N62" s="68">
        <f t="shared" si="14"/>
        <v>26.312876281036818</v>
      </c>
      <c r="O62" s="68">
        <f t="shared" si="14"/>
        <v>27.365391332278293</v>
      </c>
      <c r="P62" s="68">
        <f t="shared" si="14"/>
        <v>28.460006985569425</v>
      </c>
    </row>
    <row r="63" spans="1:16" x14ac:dyDescent="0.35">
      <c r="A63" t="s">
        <v>25</v>
      </c>
      <c r="B63" s="7" t="s">
        <v>17</v>
      </c>
      <c r="G63" s="68">
        <f>G34*10%</f>
        <v>20</v>
      </c>
      <c r="H63" s="68">
        <f t="shared" ref="H63:P63" si="15">H34*10%</f>
        <v>22.200000000000003</v>
      </c>
      <c r="I63" s="68">
        <f t="shared" si="15"/>
        <v>24.864000000000004</v>
      </c>
      <c r="J63" s="68">
        <f t="shared" si="15"/>
        <v>27.847680000000011</v>
      </c>
      <c r="K63" s="68">
        <f t="shared" si="15"/>
        <v>31.189401600000014</v>
      </c>
      <c r="L63" s="68">
        <f t="shared" si="15"/>
        <v>32.436977664000018</v>
      </c>
      <c r="M63" s="68">
        <f t="shared" si="15"/>
        <v>33.734456770560023</v>
      </c>
      <c r="N63" s="68">
        <f t="shared" si="15"/>
        <v>35.083835041382422</v>
      </c>
      <c r="O63" s="68">
        <f t="shared" si="15"/>
        <v>36.487188443037724</v>
      </c>
      <c r="P63" s="68">
        <f t="shared" si="15"/>
        <v>37.946675980759231</v>
      </c>
    </row>
    <row r="64" spans="1:16" x14ac:dyDescent="0.35">
      <c r="A64" t="s">
        <v>26</v>
      </c>
      <c r="B64" s="7" t="s">
        <v>17</v>
      </c>
      <c r="G64" s="68">
        <f>G41*10%</f>
        <v>10</v>
      </c>
      <c r="H64" s="68">
        <f t="shared" ref="H64:P64" si="16">H41*10%</f>
        <v>11.100000000000001</v>
      </c>
      <c r="I64" s="68">
        <f t="shared" si="16"/>
        <v>12.432000000000002</v>
      </c>
      <c r="J64" s="68">
        <f t="shared" si="16"/>
        <v>13.923840000000006</v>
      </c>
      <c r="K64" s="68">
        <f t="shared" si="16"/>
        <v>15.594700800000007</v>
      </c>
      <c r="L64" s="68">
        <f t="shared" si="16"/>
        <v>16.218488832000009</v>
      </c>
      <c r="M64" s="68">
        <f t="shared" si="16"/>
        <v>16.867228385280011</v>
      </c>
      <c r="N64" s="68">
        <f t="shared" si="16"/>
        <v>17.541917520691211</v>
      </c>
      <c r="O64" s="68">
        <f t="shared" si="16"/>
        <v>18.243594221518862</v>
      </c>
      <c r="P64" s="68">
        <f t="shared" si="16"/>
        <v>18.973337990379616</v>
      </c>
    </row>
    <row r="65" spans="1:16" x14ac:dyDescent="0.35">
      <c r="G65" s="23"/>
    </row>
    <row r="66" spans="1:16" x14ac:dyDescent="0.35">
      <c r="A66" s="66" t="s">
        <v>73</v>
      </c>
      <c r="G66" s="23"/>
    </row>
    <row r="67" spans="1:16" x14ac:dyDescent="0.35">
      <c r="A67" t="s">
        <v>23</v>
      </c>
      <c r="B67" s="7" t="s">
        <v>17</v>
      </c>
      <c r="G67" s="23">
        <v>250</v>
      </c>
      <c r="H67" s="63">
        <f>G67*1.1</f>
        <v>275</v>
      </c>
      <c r="I67" s="63">
        <f t="shared" ref="I67:P67" si="17">H67*1.1</f>
        <v>302.5</v>
      </c>
      <c r="J67" s="63">
        <f t="shared" si="17"/>
        <v>332.75</v>
      </c>
      <c r="K67" s="63">
        <f t="shared" si="17"/>
        <v>366.02500000000003</v>
      </c>
      <c r="L67" s="63">
        <f t="shared" si="17"/>
        <v>402.62750000000005</v>
      </c>
      <c r="M67" s="63">
        <f t="shared" si="17"/>
        <v>442.89025000000009</v>
      </c>
      <c r="N67" s="63">
        <f t="shared" si="17"/>
        <v>487.17927500000013</v>
      </c>
      <c r="O67" s="63">
        <f t="shared" si="17"/>
        <v>535.89720250000016</v>
      </c>
      <c r="P67" s="63">
        <f t="shared" si="17"/>
        <v>589.48692275000019</v>
      </c>
    </row>
    <row r="68" spans="1:16" x14ac:dyDescent="0.35">
      <c r="A68" t="s">
        <v>24</v>
      </c>
      <c r="B68" s="7" t="s">
        <v>17</v>
      </c>
      <c r="G68" s="68">
        <v>85</v>
      </c>
      <c r="H68" s="68">
        <f>G68</f>
        <v>85</v>
      </c>
      <c r="I68" s="68">
        <f t="shared" ref="I68:P68" si="18">H68</f>
        <v>85</v>
      </c>
      <c r="J68" s="68">
        <f t="shared" si="18"/>
        <v>85</v>
      </c>
      <c r="K68" s="68">
        <f t="shared" si="18"/>
        <v>85</v>
      </c>
      <c r="L68" s="68">
        <f t="shared" si="18"/>
        <v>85</v>
      </c>
      <c r="M68" s="68">
        <f t="shared" si="18"/>
        <v>85</v>
      </c>
      <c r="N68" s="68">
        <f t="shared" si="18"/>
        <v>85</v>
      </c>
      <c r="O68" s="68">
        <f t="shared" si="18"/>
        <v>85</v>
      </c>
      <c r="P68" s="68">
        <f t="shared" si="18"/>
        <v>85</v>
      </c>
    </row>
    <row r="69" spans="1:16" x14ac:dyDescent="0.35">
      <c r="A69" t="s">
        <v>25</v>
      </c>
      <c r="B69" s="7" t="s">
        <v>17</v>
      </c>
      <c r="G69" s="23">
        <v>80</v>
      </c>
      <c r="H69" s="63">
        <f>G69*1.2</f>
        <v>96</v>
      </c>
      <c r="I69" s="63">
        <f t="shared" ref="I69:P69" si="19">H69*1.2</f>
        <v>115.19999999999999</v>
      </c>
      <c r="J69" s="63">
        <f t="shared" si="19"/>
        <v>138.23999999999998</v>
      </c>
      <c r="K69" s="63">
        <f t="shared" si="19"/>
        <v>165.88799999999998</v>
      </c>
      <c r="L69" s="63">
        <f t="shared" si="19"/>
        <v>199.06559999999996</v>
      </c>
      <c r="M69" s="63">
        <f t="shared" si="19"/>
        <v>238.87871999999993</v>
      </c>
      <c r="N69" s="63">
        <f t="shared" si="19"/>
        <v>286.6544639999999</v>
      </c>
      <c r="O69" s="63">
        <f t="shared" si="19"/>
        <v>343.98535679999986</v>
      </c>
      <c r="P69" s="63">
        <f t="shared" si="19"/>
        <v>412.78242815999982</v>
      </c>
    </row>
    <row r="70" spans="1:16" x14ac:dyDescent="0.35">
      <c r="A70" t="s">
        <v>26</v>
      </c>
      <c r="B70" s="7" t="s">
        <v>17</v>
      </c>
      <c r="G70" s="23">
        <v>0</v>
      </c>
    </row>
    <row r="73" spans="1:16" s="9" customFormat="1" x14ac:dyDescent="0.35">
      <c r="A73" s="11" t="s">
        <v>71</v>
      </c>
      <c r="C73" s="12"/>
      <c r="D73" s="12"/>
      <c r="E73" s="12"/>
      <c r="F73" s="12"/>
    </row>
    <row r="75" spans="1:16" x14ac:dyDescent="0.35">
      <c r="A75" t="s">
        <v>23</v>
      </c>
      <c r="B75" s="7" t="s">
        <v>17</v>
      </c>
      <c r="G75" s="15">
        <f>G20-SUMIF($A$54:$A$70,$A75,G$54:G$70)</f>
        <v>0</v>
      </c>
      <c r="H75" s="15">
        <f t="shared" ref="H75:P75" si="20">H20-SUMIF($A$54:$A$70,$A75,H$54:H$70)</f>
        <v>13.536038547550902</v>
      </c>
      <c r="I75" s="15">
        <f t="shared" si="20"/>
        <v>37.289763373648839</v>
      </c>
      <c r="J75" s="15">
        <f t="shared" si="20"/>
        <v>65.846372220377134</v>
      </c>
      <c r="K75" s="15">
        <f t="shared" si="20"/>
        <v>99.955485409309858</v>
      </c>
      <c r="L75" s="15">
        <f t="shared" si="20"/>
        <v>55.636979982209141</v>
      </c>
      <c r="M75" s="15">
        <f t="shared" si="20"/>
        <v>5.1269218780373649</v>
      </c>
      <c r="N75" s="15">
        <f t="shared" si="20"/>
        <v>-52.229413791150364</v>
      </c>
      <c r="O75" s="15">
        <f t="shared" si="20"/>
        <v>-117.15071077881612</v>
      </c>
      <c r="P75" s="15">
        <f t="shared" si="20"/>
        <v>-190.42569940418662</v>
      </c>
    </row>
    <row r="76" spans="1:16" x14ac:dyDescent="0.35">
      <c r="A76" t="s">
        <v>24</v>
      </c>
      <c r="B76" s="7" t="s">
        <v>17</v>
      </c>
      <c r="G76" s="15">
        <f>G27-SUMIF($A$54:$A$70,$A76,G$54:G$70)</f>
        <v>0</v>
      </c>
      <c r="H76" s="15">
        <f t="shared" ref="H76:P76" si="21">H27-SUMIF($A$54:$A$70,$A76,H$54:H$70)</f>
        <v>9.3500000000000085</v>
      </c>
      <c r="I76" s="15">
        <f t="shared" si="21"/>
        <v>20.672000000000025</v>
      </c>
      <c r="J76" s="15">
        <f t="shared" si="21"/>
        <v>33.352640000000036</v>
      </c>
      <c r="K76" s="15">
        <f t="shared" si="21"/>
        <v>47.554956800000056</v>
      </c>
      <c r="L76" s="15">
        <f t="shared" si="21"/>
        <v>52.857155072000069</v>
      </c>
      <c r="M76" s="15">
        <f t="shared" si="21"/>
        <v>58.371441274880084</v>
      </c>
      <c r="N76" s="15">
        <f t="shared" si="21"/>
        <v>64.106298925875294</v>
      </c>
      <c r="O76" s="15">
        <f t="shared" si="21"/>
        <v>70.070550882910325</v>
      </c>
      <c r="P76" s="15">
        <f t="shared" si="21"/>
        <v>76.273372918226741</v>
      </c>
    </row>
    <row r="77" spans="1:16" x14ac:dyDescent="0.35">
      <c r="A77" t="s">
        <v>25</v>
      </c>
      <c r="B77" s="7" t="s">
        <v>17</v>
      </c>
      <c r="G77" s="15">
        <f>G34-SUMIF($A$54:$A$70,$A77,G$54:G$70)</f>
        <v>100</v>
      </c>
      <c r="H77" s="15">
        <f t="shared" ref="H77:P77" si="22">H34-SUMIF($A$54:$A$70,$A77,H$54:H$70)</f>
        <v>103.80000000000003</v>
      </c>
      <c r="I77" s="15">
        <f t="shared" si="22"/>
        <v>108.57600000000005</v>
      </c>
      <c r="J77" s="15">
        <f t="shared" si="22"/>
        <v>112.3891200000001</v>
      </c>
      <c r="K77" s="15">
        <f t="shared" si="22"/>
        <v>114.81661440000013</v>
      </c>
      <c r="L77" s="15">
        <f t="shared" si="22"/>
        <v>92.867198976000196</v>
      </c>
      <c r="M77" s="15">
        <f t="shared" si="22"/>
        <v>64.731390935040224</v>
      </c>
      <c r="N77" s="15">
        <f t="shared" si="22"/>
        <v>29.100051372441897</v>
      </c>
      <c r="O77" s="15">
        <f t="shared" si="22"/>
        <v>-15.600660812660351</v>
      </c>
      <c r="P77" s="15">
        <f t="shared" si="22"/>
        <v>-71.262344333166709</v>
      </c>
    </row>
    <row r="78" spans="1:16" x14ac:dyDescent="0.35">
      <c r="A78" t="s">
        <v>26</v>
      </c>
      <c r="B78" s="7" t="s">
        <v>17</v>
      </c>
      <c r="G78" s="15">
        <f>G41-SUMIF($A$54:$A$70,$A78,G$54:G$70)</f>
        <v>0</v>
      </c>
      <c r="H78" s="15">
        <f t="shared" ref="H78:P78" si="23">H41-SUMIF($A$54:$A$70,$A78,H$54:H$70)</f>
        <v>0</v>
      </c>
      <c r="I78" s="15">
        <f t="shared" si="23"/>
        <v>0</v>
      </c>
      <c r="J78" s="15">
        <f t="shared" si="23"/>
        <v>0</v>
      </c>
      <c r="K78" s="15">
        <f t="shared" si="23"/>
        <v>0</v>
      </c>
      <c r="L78" s="15">
        <f t="shared" si="23"/>
        <v>0</v>
      </c>
      <c r="M78" s="15">
        <f t="shared" si="23"/>
        <v>0</v>
      </c>
      <c r="N78" s="15">
        <f t="shared" si="23"/>
        <v>0</v>
      </c>
      <c r="O78" s="15">
        <f t="shared" si="23"/>
        <v>0</v>
      </c>
      <c r="P78" s="15">
        <f t="shared" si="23"/>
        <v>0</v>
      </c>
    </row>
    <row r="79" spans="1:16" x14ac:dyDescent="0.35">
      <c r="A79" s="10" t="s">
        <v>75</v>
      </c>
      <c r="B79" s="71" t="s">
        <v>17</v>
      </c>
      <c r="G79" s="54">
        <f>SUM(G75:G78)</f>
        <v>100</v>
      </c>
      <c r="H79" s="54">
        <f t="shared" ref="H79:P79" si="24">SUM(H75:H78)</f>
        <v>126.68603854755094</v>
      </c>
      <c r="I79" s="54">
        <f t="shared" si="24"/>
        <v>166.53776337364891</v>
      </c>
      <c r="J79" s="54">
        <f t="shared" si="24"/>
        <v>211.58813222037728</v>
      </c>
      <c r="K79" s="54">
        <f t="shared" si="24"/>
        <v>262.32705660931003</v>
      </c>
      <c r="L79" s="54">
        <f t="shared" si="24"/>
        <v>201.36133403020941</v>
      </c>
      <c r="M79" s="54">
        <f t="shared" si="24"/>
        <v>128.22975408795767</v>
      </c>
      <c r="N79" s="54">
        <f t="shared" si="24"/>
        <v>40.976936507166826</v>
      </c>
      <c r="O79" s="54">
        <f t="shared" si="24"/>
        <v>-62.680820708566145</v>
      </c>
      <c r="P79" s="54">
        <f t="shared" si="24"/>
        <v>-185.41467081912657</v>
      </c>
    </row>
    <row r="81" spans="1:16" x14ac:dyDescent="0.35">
      <c r="A81" s="19" t="s">
        <v>19</v>
      </c>
      <c r="G81" t="s">
        <v>6</v>
      </c>
      <c r="H81" t="s">
        <v>6</v>
      </c>
      <c r="I81" t="s">
        <v>6</v>
      </c>
      <c r="J81" t="s">
        <v>6</v>
      </c>
      <c r="K81" t="s">
        <v>6</v>
      </c>
      <c r="L81" t="s">
        <v>6</v>
      </c>
      <c r="M81" t="s">
        <v>6</v>
      </c>
      <c r="N81" t="s">
        <v>6</v>
      </c>
      <c r="O81" t="s">
        <v>6</v>
      </c>
      <c r="P81" t="s">
        <v>6</v>
      </c>
    </row>
    <row r="82" spans="1:16" x14ac:dyDescent="0.35">
      <c r="A82" s="19" t="s">
        <v>20</v>
      </c>
      <c r="G82" t="s">
        <v>6</v>
      </c>
      <c r="H82" t="s">
        <v>6</v>
      </c>
      <c r="I82" t="s">
        <v>6</v>
      </c>
      <c r="J82" t="s">
        <v>6</v>
      </c>
      <c r="K82" t="s">
        <v>6</v>
      </c>
      <c r="L82" t="s">
        <v>6</v>
      </c>
      <c r="M82" t="s">
        <v>6</v>
      </c>
      <c r="N82" t="s">
        <v>6</v>
      </c>
      <c r="O82" t="s">
        <v>6</v>
      </c>
      <c r="P82" t="s">
        <v>6</v>
      </c>
    </row>
    <row r="83" spans="1:16" x14ac:dyDescent="0.35">
      <c r="A83" s="19" t="s">
        <v>28</v>
      </c>
      <c r="G83" t="s">
        <v>6</v>
      </c>
      <c r="H83" t="s">
        <v>6</v>
      </c>
      <c r="I83" t="s">
        <v>6</v>
      </c>
      <c r="J83" t="s">
        <v>6</v>
      </c>
      <c r="K83" t="s">
        <v>6</v>
      </c>
      <c r="L83" t="s">
        <v>6</v>
      </c>
      <c r="M83" t="s">
        <v>6</v>
      </c>
      <c r="N83" t="s">
        <v>6</v>
      </c>
      <c r="O83" t="s">
        <v>6</v>
      </c>
      <c r="P83" t="s">
        <v>6</v>
      </c>
    </row>
    <row r="84" spans="1:16" x14ac:dyDescent="0.35">
      <c r="A84" s="19" t="s">
        <v>21</v>
      </c>
      <c r="G84" t="s">
        <v>6</v>
      </c>
      <c r="H84" t="s">
        <v>6</v>
      </c>
      <c r="I84" t="s">
        <v>6</v>
      </c>
      <c r="J84" t="s">
        <v>6</v>
      </c>
      <c r="K84" t="s">
        <v>6</v>
      </c>
      <c r="L84" t="s">
        <v>6</v>
      </c>
      <c r="M84" t="s">
        <v>6</v>
      </c>
      <c r="N84" t="s">
        <v>6</v>
      </c>
      <c r="O84" t="s">
        <v>6</v>
      </c>
      <c r="P84" t="s">
        <v>6</v>
      </c>
    </row>
    <row r="85" spans="1:16" x14ac:dyDescent="0.35">
      <c r="A85" s="19" t="s">
        <v>22</v>
      </c>
      <c r="G85" t="s">
        <v>6</v>
      </c>
      <c r="H85" t="s">
        <v>6</v>
      </c>
      <c r="I85" t="s">
        <v>6</v>
      </c>
      <c r="J85" t="s">
        <v>6</v>
      </c>
      <c r="K85" t="s">
        <v>6</v>
      </c>
      <c r="L85" t="s">
        <v>6</v>
      </c>
      <c r="M85" t="s">
        <v>6</v>
      </c>
      <c r="N85" t="s">
        <v>6</v>
      </c>
      <c r="O85" t="s">
        <v>6</v>
      </c>
      <c r="P85" t="s">
        <v>6</v>
      </c>
    </row>
    <row r="86" spans="1:16" x14ac:dyDescent="0.35">
      <c r="A86" s="10" t="s">
        <v>75</v>
      </c>
      <c r="B86" s="71" t="s">
        <v>17</v>
      </c>
    </row>
  </sheetData>
  <conditionalFormatting sqref="G75:P78">
    <cfRule type="cellIs" dxfId="1" priority="2" operator="lessThan">
      <formula>0</formula>
    </cfRule>
  </conditionalFormatting>
  <conditionalFormatting sqref="G79:P79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pane xSplit="2" ySplit="3" topLeftCell="C4" activePane="bottomRight" state="frozen"/>
      <selection pane="topRight" activeCell="C1" sqref="C1"/>
      <selection pane="bottomLeft" activeCell="A5" sqref="A5"/>
      <selection pane="bottomRight" activeCell="G31" sqref="G31"/>
    </sheetView>
  </sheetViews>
  <sheetFormatPr defaultRowHeight="14.5" x14ac:dyDescent="0.35"/>
  <cols>
    <col min="1" max="1" width="26.453125" customWidth="1"/>
    <col min="2" max="2" width="14.453125" customWidth="1"/>
    <col min="7" max="7" width="12.08984375" bestFit="1" customWidth="1"/>
    <col min="8" max="8" width="9.6328125" bestFit="1" customWidth="1"/>
    <col min="9" max="16" width="9.36328125" bestFit="1" customWidth="1"/>
  </cols>
  <sheetData>
    <row r="1" spans="1:18" x14ac:dyDescent="0.35">
      <c r="A1" s="4" t="s">
        <v>0</v>
      </c>
      <c r="B1" s="3"/>
    </row>
    <row r="2" spans="1:18" x14ac:dyDescent="0.35">
      <c r="G2" s="1" t="s">
        <v>1</v>
      </c>
    </row>
    <row r="3" spans="1:18" s="2" customFormat="1" x14ac:dyDescent="0.35">
      <c r="A3" s="5" t="s">
        <v>3</v>
      </c>
      <c r="B3" s="5" t="s">
        <v>2</v>
      </c>
      <c r="C3" s="5"/>
      <c r="D3" s="5"/>
      <c r="E3" s="5">
        <v>2019</v>
      </c>
      <c r="F3" s="5">
        <v>2020</v>
      </c>
      <c r="G3" s="5">
        <v>2021</v>
      </c>
      <c r="H3" s="5">
        <f>G3+1</f>
        <v>2022</v>
      </c>
      <c r="I3" s="5">
        <f t="shared" ref="I3:P3" si="0">H3+1</f>
        <v>2023</v>
      </c>
      <c r="J3" s="5">
        <f t="shared" si="0"/>
        <v>2024</v>
      </c>
      <c r="K3" s="5">
        <f t="shared" si="0"/>
        <v>2025</v>
      </c>
      <c r="L3" s="5">
        <f t="shared" si="0"/>
        <v>2026</v>
      </c>
      <c r="M3" s="5">
        <f t="shared" si="0"/>
        <v>2027</v>
      </c>
      <c r="N3" s="5">
        <f t="shared" si="0"/>
        <v>2028</v>
      </c>
      <c r="O3" s="5">
        <f t="shared" si="0"/>
        <v>2029</v>
      </c>
      <c r="P3" s="5">
        <f t="shared" si="0"/>
        <v>2030</v>
      </c>
    </row>
    <row r="4" spans="1:18" x14ac:dyDescent="0.35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35">
      <c r="C5" s="1"/>
      <c r="D5" s="1"/>
      <c r="E5" s="1"/>
      <c r="F5" s="1"/>
    </row>
    <row r="6" spans="1:18" s="9" customFormat="1" x14ac:dyDescent="0.35">
      <c r="A6" s="11" t="s">
        <v>87</v>
      </c>
      <c r="C6" s="12"/>
      <c r="D6" s="12"/>
      <c r="E6" s="12"/>
      <c r="F6" s="12"/>
    </row>
    <row r="7" spans="1:18" x14ac:dyDescent="0.35">
      <c r="C7" s="1"/>
      <c r="D7" s="1"/>
      <c r="E7" s="1"/>
      <c r="F7" s="1"/>
    </row>
    <row r="8" spans="1:18" x14ac:dyDescent="0.35">
      <c r="A8" t="s">
        <v>23</v>
      </c>
      <c r="B8" s="7" t="s">
        <v>17</v>
      </c>
      <c r="G8" s="15">
        <f>Рынок!G75</f>
        <v>0</v>
      </c>
      <c r="H8" s="15">
        <f>Рынок!H75</f>
        <v>13.536038547550902</v>
      </c>
      <c r="I8" s="15">
        <f>Рынок!I75</f>
        <v>37.289763373648839</v>
      </c>
      <c r="J8" s="15">
        <f>Рынок!J75</f>
        <v>65.846372220377134</v>
      </c>
      <c r="K8" s="15">
        <f>Рынок!K75</f>
        <v>99.955485409309858</v>
      </c>
      <c r="L8" s="15">
        <f>Рынок!L75</f>
        <v>55.636979982209141</v>
      </c>
      <c r="M8" s="15">
        <f>Рынок!M75</f>
        <v>5.1269218780373649</v>
      </c>
      <c r="N8" s="15">
        <f>Рынок!N75</f>
        <v>-52.229413791150364</v>
      </c>
      <c r="O8" s="15">
        <f>Рынок!O75</f>
        <v>-117.15071077881612</v>
      </c>
      <c r="P8" s="15">
        <f>Рынок!P75</f>
        <v>-190.42569940418662</v>
      </c>
    </row>
    <row r="9" spans="1:18" x14ac:dyDescent="0.35">
      <c r="A9" t="s">
        <v>24</v>
      </c>
      <c r="B9" s="7" t="s">
        <v>17</v>
      </c>
      <c r="G9" s="15">
        <f>Рынок!G76</f>
        <v>0</v>
      </c>
      <c r="H9" s="15">
        <f>Рынок!H76</f>
        <v>9.3500000000000085</v>
      </c>
      <c r="I9" s="15">
        <f>Рынок!I76</f>
        <v>20.672000000000025</v>
      </c>
      <c r="J9" s="15">
        <f>Рынок!J76</f>
        <v>33.352640000000036</v>
      </c>
      <c r="K9" s="15">
        <f>Рынок!K76</f>
        <v>47.554956800000056</v>
      </c>
      <c r="L9" s="15">
        <f>Рынок!L76</f>
        <v>52.857155072000069</v>
      </c>
      <c r="M9" s="15">
        <f>Рынок!M76</f>
        <v>58.371441274880084</v>
      </c>
      <c r="N9" s="15">
        <f>Рынок!N76</f>
        <v>64.106298925875294</v>
      </c>
      <c r="O9" s="15">
        <f>Рынок!O76</f>
        <v>70.070550882910325</v>
      </c>
      <c r="P9" s="15">
        <f>Рынок!P76</f>
        <v>76.273372918226741</v>
      </c>
    </row>
    <row r="10" spans="1:18" x14ac:dyDescent="0.35">
      <c r="A10" t="s">
        <v>25</v>
      </c>
      <c r="B10" s="7" t="s">
        <v>17</v>
      </c>
      <c r="G10" s="15">
        <f>Рынок!G77</f>
        <v>100</v>
      </c>
      <c r="H10" s="15">
        <f>Рынок!H77</f>
        <v>103.80000000000003</v>
      </c>
      <c r="I10" s="15">
        <f>Рынок!I77</f>
        <v>108.57600000000005</v>
      </c>
      <c r="J10" s="15">
        <f>Рынок!J77</f>
        <v>112.3891200000001</v>
      </c>
      <c r="K10" s="15">
        <f>Рынок!K77</f>
        <v>114.81661440000013</v>
      </c>
      <c r="L10" s="15">
        <f>Рынок!L77</f>
        <v>92.867198976000196</v>
      </c>
      <c r="M10" s="15">
        <f>Рынок!M77</f>
        <v>64.731390935040224</v>
      </c>
      <c r="N10" s="15">
        <f>Рынок!N77</f>
        <v>29.100051372441897</v>
      </c>
      <c r="O10" s="15">
        <f>Рынок!O77</f>
        <v>-15.600660812660351</v>
      </c>
      <c r="P10" s="15">
        <f>Рынок!P77</f>
        <v>-71.262344333166709</v>
      </c>
    </row>
    <row r="11" spans="1:18" x14ac:dyDescent="0.35">
      <c r="A11" t="s">
        <v>26</v>
      </c>
      <c r="B11" s="7" t="s">
        <v>17</v>
      </c>
      <c r="G11" s="15">
        <f>Рынок!G78</f>
        <v>0</v>
      </c>
      <c r="H11" s="15">
        <f>Рынок!H78</f>
        <v>0</v>
      </c>
      <c r="I11" s="15">
        <f>Рынок!I78</f>
        <v>0</v>
      </c>
      <c r="J11" s="15">
        <f>Рынок!J78</f>
        <v>0</v>
      </c>
      <c r="K11" s="15">
        <f>Рынок!K78</f>
        <v>0</v>
      </c>
      <c r="L11" s="15">
        <f>Рынок!L78</f>
        <v>0</v>
      </c>
      <c r="M11" s="15">
        <f>Рынок!M78</f>
        <v>0</v>
      </c>
      <c r="N11" s="15">
        <f>Рынок!N78</f>
        <v>0</v>
      </c>
      <c r="O11" s="15">
        <f>Рынок!O78</f>
        <v>0</v>
      </c>
      <c r="P11" s="15">
        <f>Рынок!P78</f>
        <v>0</v>
      </c>
    </row>
    <row r="12" spans="1:18" x14ac:dyDescent="0.35">
      <c r="A12" s="10" t="s">
        <v>75</v>
      </c>
      <c r="B12" s="71" t="s">
        <v>17</v>
      </c>
      <c r="G12" s="15">
        <f>SUM(G8:G11)</f>
        <v>100</v>
      </c>
      <c r="H12" s="15">
        <f t="shared" ref="H12:P12" si="1">SUM(H8:H11)</f>
        <v>126.68603854755094</v>
      </c>
      <c r="I12" s="15">
        <f t="shared" si="1"/>
        <v>166.53776337364891</v>
      </c>
      <c r="J12" s="15">
        <f t="shared" si="1"/>
        <v>211.58813222037728</v>
      </c>
      <c r="K12" s="15">
        <f t="shared" si="1"/>
        <v>262.32705660931003</v>
      </c>
      <c r="L12" s="15">
        <f t="shared" si="1"/>
        <v>201.36133403020941</v>
      </c>
      <c r="M12" s="15">
        <f t="shared" si="1"/>
        <v>128.22975408795767</v>
      </c>
      <c r="N12" s="15">
        <f t="shared" si="1"/>
        <v>40.976936507166826</v>
      </c>
      <c r="O12" s="15">
        <f t="shared" si="1"/>
        <v>-62.680820708566145</v>
      </c>
      <c r="P12" s="15">
        <f t="shared" si="1"/>
        <v>-185.41467081912657</v>
      </c>
    </row>
    <row r="13" spans="1:18" x14ac:dyDescent="0.35">
      <c r="A13" s="10"/>
      <c r="B13" s="71"/>
      <c r="G13" s="15"/>
      <c r="H13" s="15"/>
      <c r="I13" s="15"/>
      <c r="J13" s="15"/>
      <c r="K13" s="15"/>
      <c r="L13" s="15"/>
      <c r="M13" s="15"/>
      <c r="N13" s="15"/>
      <c r="O13" s="15"/>
      <c r="P13" s="15"/>
    </row>
    <row r="14" spans="1:18" x14ac:dyDescent="0.35">
      <c r="A14" s="10" t="s">
        <v>86</v>
      </c>
      <c r="B14" s="71" t="s">
        <v>17</v>
      </c>
      <c r="G14" s="15">
        <f>IF((G12*Assumptions!G18)&lt;0,0,G12*Assumptions!G18)</f>
        <v>40</v>
      </c>
      <c r="H14" s="15">
        <f>IF((H12*Assumptions!H18)&lt;0,0,H12*Assumptions!H18)</f>
        <v>50.674415419020377</v>
      </c>
      <c r="I14" s="15">
        <f>IF((I12*Assumptions!I18)&lt;0,0,I12*Assumptions!I18)</f>
        <v>66.615105349459569</v>
      </c>
      <c r="J14" s="15">
        <f>IF((J12*Assumptions!J18)&lt;0,0,J12*Assumptions!J18)</f>
        <v>84.635252888150916</v>
      </c>
      <c r="K14" s="15">
        <f>IF((K12*Assumptions!K18)&lt;0,0,K12*Assumptions!K18)</f>
        <v>104.93082264372401</v>
      </c>
      <c r="L14" s="15">
        <f>IF((L12*Assumptions!L18)&lt;0,0,L12*Assumptions!L18)</f>
        <v>80.544533612083768</v>
      </c>
      <c r="M14" s="15">
        <f>IF((M12*Assumptions!M18)&lt;0,0,M12*Assumptions!M18)</f>
        <v>51.291901635183073</v>
      </c>
      <c r="N14" s="15">
        <f>IF((N12*Assumptions!N18)&lt;0,0,N12*Assumptions!N18)</f>
        <v>16.390774602866731</v>
      </c>
      <c r="O14" s="15">
        <f>IF((O12*Assumptions!O18)&lt;0,0,O12*Assumptions!O18)</f>
        <v>0</v>
      </c>
      <c r="P14" s="15">
        <f>IF((P12*Assumptions!P18)&lt;0,0,P12*Assumptions!P18)</f>
        <v>0</v>
      </c>
    </row>
    <row r="15" spans="1:18" x14ac:dyDescent="0.35">
      <c r="A15" s="10"/>
      <c r="B15" s="71"/>
      <c r="G15" s="15"/>
      <c r="H15" s="15"/>
      <c r="I15" s="15"/>
      <c r="J15" s="15"/>
      <c r="K15" s="15"/>
      <c r="L15" s="15"/>
      <c r="M15" s="15"/>
      <c r="N15" s="15"/>
      <c r="O15" s="15"/>
      <c r="P15" s="15"/>
    </row>
    <row r="16" spans="1:18" x14ac:dyDescent="0.35">
      <c r="A16" s="10" t="s">
        <v>88</v>
      </c>
      <c r="B16" s="71" t="s">
        <v>17</v>
      </c>
      <c r="G16" s="77">
        <f>G12-G14</f>
        <v>60</v>
      </c>
      <c r="H16" s="77">
        <f t="shared" ref="H16:N16" si="2">H12-H14</f>
        <v>76.011623128530559</v>
      </c>
      <c r="I16" s="77">
        <f t="shared" si="2"/>
        <v>99.922658024189346</v>
      </c>
      <c r="J16" s="77">
        <f t="shared" si="2"/>
        <v>126.95287933222636</v>
      </c>
      <c r="K16" s="77">
        <f t="shared" si="2"/>
        <v>157.39623396558602</v>
      </c>
      <c r="L16" s="77">
        <f t="shared" si="2"/>
        <v>120.81680041812564</v>
      </c>
      <c r="M16" s="77">
        <f t="shared" si="2"/>
        <v>76.937852452774592</v>
      </c>
      <c r="N16" s="77">
        <f t="shared" si="2"/>
        <v>24.586161904300095</v>
      </c>
      <c r="O16" s="77">
        <v>0</v>
      </c>
      <c r="P16" s="77">
        <v>0</v>
      </c>
    </row>
    <row r="17" spans="1:16" x14ac:dyDescent="0.35">
      <c r="A17" s="10"/>
      <c r="B17" s="71"/>
      <c r="G17" s="15"/>
      <c r="H17" s="15"/>
      <c r="I17" s="15"/>
      <c r="J17" s="15"/>
      <c r="K17" s="15"/>
      <c r="L17" s="15"/>
      <c r="M17" s="15"/>
      <c r="N17" s="15"/>
      <c r="O17" s="15"/>
      <c r="P17" s="15"/>
    </row>
    <row r="18" spans="1:16" x14ac:dyDescent="0.35">
      <c r="A18" s="22"/>
      <c r="G18" s="23"/>
    </row>
    <row r="19" spans="1:16" s="9" customFormat="1" x14ac:dyDescent="0.35">
      <c r="A19" s="11" t="s">
        <v>89</v>
      </c>
      <c r="C19" s="12"/>
      <c r="D19" s="12"/>
      <c r="E19" s="12"/>
      <c r="F19" s="12"/>
    </row>
    <row r="20" spans="1:16" x14ac:dyDescent="0.35">
      <c r="A20" s="22"/>
      <c r="G20" s="23"/>
    </row>
    <row r="21" spans="1:16" x14ac:dyDescent="0.35">
      <c r="A21" t="s">
        <v>44</v>
      </c>
      <c r="G21" s="23" t="s">
        <v>90</v>
      </c>
      <c r="H21" s="23" t="s">
        <v>90</v>
      </c>
      <c r="I21" s="23" t="s">
        <v>90</v>
      </c>
      <c r="J21" s="23" t="s">
        <v>90</v>
      </c>
      <c r="K21" s="23" t="s">
        <v>90</v>
      </c>
      <c r="L21" s="23" t="s">
        <v>90</v>
      </c>
      <c r="M21" s="23" t="s">
        <v>90</v>
      </c>
      <c r="N21" s="23" t="s">
        <v>90</v>
      </c>
      <c r="O21" s="23" t="s">
        <v>90</v>
      </c>
      <c r="P21" s="23" t="s">
        <v>90</v>
      </c>
    </row>
    <row r="22" spans="1:16" x14ac:dyDescent="0.35">
      <c r="A22" t="s">
        <v>45</v>
      </c>
      <c r="G22" s="23" t="s">
        <v>90</v>
      </c>
      <c r="H22" s="23" t="s">
        <v>90</v>
      </c>
      <c r="I22" s="23" t="s">
        <v>90</v>
      </c>
      <c r="J22" s="23" t="s">
        <v>90</v>
      </c>
      <c r="K22" s="23" t="s">
        <v>90</v>
      </c>
      <c r="L22" s="23" t="s">
        <v>90</v>
      </c>
      <c r="M22" s="23" t="s">
        <v>90</v>
      </c>
      <c r="N22" s="23" t="s">
        <v>90</v>
      </c>
      <c r="O22" s="23" t="s">
        <v>90</v>
      </c>
      <c r="P22" s="23" t="s">
        <v>90</v>
      </c>
    </row>
    <row r="23" spans="1:16" x14ac:dyDescent="0.35">
      <c r="G23" s="23"/>
      <c r="H23" s="23"/>
      <c r="I23" s="23"/>
      <c r="J23" s="23"/>
      <c r="K23" s="23"/>
      <c r="L23" s="23"/>
      <c r="M23" s="23"/>
      <c r="N23" s="23"/>
      <c r="O23" s="23"/>
      <c r="P23" s="23"/>
    </row>
    <row r="24" spans="1:16" s="9" customFormat="1" x14ac:dyDescent="0.35">
      <c r="A24" s="11" t="s">
        <v>97</v>
      </c>
      <c r="C24" s="12"/>
      <c r="D24" s="12"/>
      <c r="E24" s="12"/>
      <c r="F24" s="12"/>
    </row>
    <row r="26" spans="1:16" x14ac:dyDescent="0.35">
      <c r="A26" t="s">
        <v>44</v>
      </c>
      <c r="G26" s="73">
        <v>0.2</v>
      </c>
      <c r="H26" s="73">
        <v>0.2</v>
      </c>
      <c r="I26" s="73">
        <v>0.2</v>
      </c>
      <c r="J26" s="73">
        <v>0.2</v>
      </c>
      <c r="K26" s="73">
        <v>0.2</v>
      </c>
      <c r="L26" s="73">
        <v>0.2</v>
      </c>
      <c r="M26" s="73">
        <v>0.2</v>
      </c>
      <c r="N26" s="73">
        <v>0.2</v>
      </c>
      <c r="O26" s="73">
        <v>0.2</v>
      </c>
      <c r="P26" s="73">
        <v>0.2</v>
      </c>
    </row>
    <row r="27" spans="1:16" x14ac:dyDescent="0.35">
      <c r="A27" t="s">
        <v>45</v>
      </c>
      <c r="G27" s="73">
        <v>0.8</v>
      </c>
      <c r="H27" s="73">
        <v>0.8</v>
      </c>
      <c r="I27" s="73">
        <v>0.8</v>
      </c>
      <c r="J27" s="73">
        <v>0.8</v>
      </c>
      <c r="K27" s="73">
        <v>0.8</v>
      </c>
      <c r="L27" s="73">
        <v>0.8</v>
      </c>
      <c r="M27" s="73">
        <v>0.8</v>
      </c>
      <c r="N27" s="73">
        <v>0.8</v>
      </c>
      <c r="O27" s="73">
        <v>0.8</v>
      </c>
      <c r="P27" s="73">
        <v>0.8</v>
      </c>
    </row>
    <row r="28" spans="1:16" x14ac:dyDescent="0.35">
      <c r="A28" s="22"/>
      <c r="G28" s="23"/>
    </row>
    <row r="29" spans="1:16" s="9" customFormat="1" x14ac:dyDescent="0.35">
      <c r="A29" s="11" t="s">
        <v>0</v>
      </c>
      <c r="C29" s="12"/>
      <c r="D29" s="12"/>
      <c r="E29" s="12"/>
      <c r="F29" s="12"/>
    </row>
    <row r="31" spans="1:16" x14ac:dyDescent="0.35">
      <c r="A31" t="s">
        <v>44</v>
      </c>
      <c r="G31" s="63">
        <f>G16*G26*Assumptions!$F$23*(1+Assumptions!F24)</f>
        <v>48</v>
      </c>
      <c r="H31" s="63">
        <f>H16*H26*Assumptions!$F$23*(1+Assumptions!G24)</f>
        <v>57.768833577683225</v>
      </c>
      <c r="I31" s="63">
        <f>I16*I26*Assumptions!$F$23*(1+Assumptions!H24)</f>
        <v>75.941220098383894</v>
      </c>
      <c r="J31" s="63">
        <f>J16*J26*Assumptions!$F$23*(1+Assumptions!I24)</f>
        <v>96.484188292492036</v>
      </c>
      <c r="K31" s="63">
        <f>K16*K26*Assumptions!$F$23*(1+Assumptions!J24)</f>
        <v>119.62113781384538</v>
      </c>
      <c r="L31" s="63">
        <f>L16*L26*Assumptions!$F$23*(1+Assumptions!K24)</f>
        <v>91.820768317775489</v>
      </c>
      <c r="M31" s="63">
        <f>M16*M26*Assumptions!$F$23*(1+Assumptions!L24)</f>
        <v>58.47276786410869</v>
      </c>
      <c r="N31" s="63">
        <f>N16*N26*Assumptions!$F$23*(1+Assumptions!M24)</f>
        <v>18.685483047268072</v>
      </c>
      <c r="O31" s="63">
        <f>O16*O26*Assumptions!$F$23*(1+Assumptions!N24)</f>
        <v>0</v>
      </c>
      <c r="P31" s="63">
        <f>P16*P26*Assumptions!$F$23*(1+Assumptions!O24)</f>
        <v>0</v>
      </c>
    </row>
    <row r="32" spans="1:16" x14ac:dyDescent="0.35">
      <c r="A32" t="s">
        <v>45</v>
      </c>
      <c r="G32" s="63">
        <f>G16*G27*Assumptions!$F$23*(1+Assumptions!F24)</f>
        <v>192</v>
      </c>
      <c r="H32" s="63">
        <f>H16*H27*Assumptions!$F$23*(1+Assumptions!G24)</f>
        <v>231.0753343107329</v>
      </c>
      <c r="I32" s="63">
        <f>I16*I27*Assumptions!$F$23*(1+Assumptions!H24)</f>
        <v>303.76488039353558</v>
      </c>
      <c r="J32" s="63">
        <f>J16*J27*Assumptions!$F$23*(1+Assumptions!I24)</f>
        <v>385.93675316996814</v>
      </c>
      <c r="K32" s="63">
        <f>K16*K27*Assumptions!$F$23*(1+Assumptions!J24)</f>
        <v>478.48455125538152</v>
      </c>
      <c r="L32" s="63">
        <f>L16*L27*Assumptions!$F$23*(1+Assumptions!K24)</f>
        <v>367.28307327110196</v>
      </c>
      <c r="M32" s="63">
        <f>M16*M27*Assumptions!$F$23*(1+Assumptions!L24)</f>
        <v>233.89107145643476</v>
      </c>
      <c r="N32" s="63">
        <f>N16*N27*Assumptions!$F$23*(1+Assumptions!M24)</f>
        <v>74.741932189072287</v>
      </c>
      <c r="O32" s="63">
        <f>O16*O27*Assumptions!$F$23*(1+Assumptions!N24)</f>
        <v>0</v>
      </c>
      <c r="P32" s="63">
        <f>P16*P27*Assumptions!$F$23*(1+Assumptions!O24)</f>
        <v>0</v>
      </c>
    </row>
  </sheetData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zoomScale="85" zoomScaleNormal="85" workbookViewId="0">
      <pane xSplit="2" ySplit="3" topLeftCell="C4" activePane="bottomRight" state="frozen"/>
      <selection pane="topRight" activeCell="C1" sqref="C1"/>
      <selection pane="bottomLeft" activeCell="A5" sqref="A5"/>
      <selection pane="bottomRight" activeCell="G6" sqref="G6"/>
    </sheetView>
  </sheetViews>
  <sheetFormatPr defaultRowHeight="14.5" x14ac:dyDescent="0.35"/>
  <cols>
    <col min="1" max="1" width="26.453125" customWidth="1"/>
    <col min="2" max="2" width="14.453125" customWidth="1"/>
    <col min="7" max="7" width="12.08984375" bestFit="1" customWidth="1"/>
    <col min="8" max="8" width="9.6328125" bestFit="1" customWidth="1"/>
    <col min="9" max="16" width="9.36328125" bestFit="1" customWidth="1"/>
  </cols>
  <sheetData>
    <row r="1" spans="1:18" x14ac:dyDescent="0.35">
      <c r="A1" s="4" t="s">
        <v>63</v>
      </c>
      <c r="B1" s="3"/>
    </row>
    <row r="2" spans="1:18" x14ac:dyDescent="0.35">
      <c r="G2" s="1" t="s">
        <v>1</v>
      </c>
    </row>
    <row r="3" spans="1:18" s="2" customFormat="1" x14ac:dyDescent="0.35">
      <c r="A3" s="5" t="s">
        <v>3</v>
      </c>
      <c r="B3" s="5" t="s">
        <v>2</v>
      </c>
      <c r="C3" s="5"/>
      <c r="D3" s="5"/>
      <c r="E3" s="5">
        <v>2019</v>
      </c>
      <c r="F3" s="5">
        <v>2020</v>
      </c>
      <c r="G3" s="5">
        <v>2021</v>
      </c>
      <c r="H3" s="5">
        <f>G3+1</f>
        <v>2022</v>
      </c>
      <c r="I3" s="5">
        <f t="shared" ref="I3:P3" si="0">H3+1</f>
        <v>2023</v>
      </c>
      <c r="J3" s="5">
        <f t="shared" si="0"/>
        <v>2024</v>
      </c>
      <c r="K3" s="5">
        <f t="shared" si="0"/>
        <v>2025</v>
      </c>
      <c r="L3" s="5">
        <f t="shared" si="0"/>
        <v>2026</v>
      </c>
      <c r="M3" s="5">
        <f t="shared" si="0"/>
        <v>2027</v>
      </c>
      <c r="N3" s="5">
        <f t="shared" si="0"/>
        <v>2028</v>
      </c>
      <c r="O3" s="5">
        <f t="shared" si="0"/>
        <v>2029</v>
      </c>
      <c r="P3" s="5">
        <f t="shared" si="0"/>
        <v>2030</v>
      </c>
    </row>
    <row r="4" spans="1:18" x14ac:dyDescent="0.35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35">
      <c r="C5" s="1"/>
      <c r="D5" s="1"/>
      <c r="E5" s="1"/>
      <c r="F5" s="1"/>
    </row>
    <row r="6" spans="1:18" x14ac:dyDescent="0.35">
      <c r="A6" s="10" t="s">
        <v>91</v>
      </c>
      <c r="B6" s="71"/>
      <c r="G6" s="15">
        <f>Расходы!G13+Расходы!G25</f>
        <v>95209.973333333342</v>
      </c>
      <c r="H6" s="15">
        <f>Расходы!H13+Расходы!H25</f>
        <v>75417.765957085518</v>
      </c>
      <c r="I6" s="15">
        <f>Расходы!I13+Расходы!I25</f>
        <v>57957.235399109923</v>
      </c>
      <c r="J6" s="15">
        <f>Расходы!J13+Расходы!J25</f>
        <v>46081.846141337439</v>
      </c>
      <c r="K6" s="15">
        <f>Расходы!K13+Расходы!K25</f>
        <v>44159.945154824389</v>
      </c>
      <c r="L6" s="15">
        <f>Расходы!L13+Расходы!L25</f>
        <v>49491.798963231588</v>
      </c>
      <c r="M6" s="15">
        <f>Расходы!M13+Расходы!M25</f>
        <v>78050.137245895734</v>
      </c>
      <c r="N6" s="15">
        <f>Расходы!N13+Расходы!N25</f>
        <v>245609.74632711482</v>
      </c>
      <c r="O6" s="15">
        <f>Расходы!O13+Расходы!O25</f>
        <v>246880.31969298961</v>
      </c>
      <c r="P6" s="15">
        <f>Расходы!P13+Расходы!P25</f>
        <v>573535.34748607455</v>
      </c>
    </row>
    <row r="7" spans="1:18" x14ac:dyDescent="0.35">
      <c r="A7" s="10" t="s">
        <v>18</v>
      </c>
      <c r="B7" s="71"/>
      <c r="G7" s="15">
        <f>Assumptions!F23*(1+Assumptions!G24)</f>
        <v>3.8</v>
      </c>
      <c r="H7" s="15">
        <f>G7*(1+Assumptions!H24)</f>
        <v>3.61</v>
      </c>
      <c r="I7" s="15">
        <f>H7*(1+Assumptions!I24)</f>
        <v>3.4294999999999995</v>
      </c>
      <c r="J7" s="15">
        <f>I7*(1+Assumptions!J24)</f>
        <v>3.2580249999999995</v>
      </c>
      <c r="K7" s="15">
        <f>J7*(1+Assumptions!K24)</f>
        <v>3.0951237499999995</v>
      </c>
      <c r="L7" s="15">
        <f>K7*(1+Assumptions!L24)</f>
        <v>2.9403675624999992</v>
      </c>
      <c r="M7" s="15">
        <f>L7*(1+Assumptions!M24)</f>
        <v>2.7933491843749989</v>
      </c>
      <c r="N7" s="15">
        <f>M7*(1+Assumptions!N24)</f>
        <v>2.653681725156249</v>
      </c>
      <c r="O7" s="15">
        <f>N7*(1+Assumptions!O24)</f>
        <v>2.5209976388984363</v>
      </c>
      <c r="P7" s="15">
        <f>O7*(1+Assumptions!P24)</f>
        <v>2.3949477569535143</v>
      </c>
    </row>
    <row r="8" spans="1:18" x14ac:dyDescent="0.35">
      <c r="A8" s="10" t="s">
        <v>92</v>
      </c>
      <c r="B8" s="71"/>
      <c r="G8" s="15" t="s">
        <v>6</v>
      </c>
      <c r="H8" s="15" t="s">
        <v>6</v>
      </c>
      <c r="I8" s="15" t="s">
        <v>6</v>
      </c>
      <c r="J8" s="15" t="s">
        <v>6</v>
      </c>
      <c r="K8" s="15" t="s">
        <v>6</v>
      </c>
      <c r="L8" s="15" t="s">
        <v>6</v>
      </c>
      <c r="M8" s="15" t="s">
        <v>6</v>
      </c>
      <c r="N8" s="15" t="s">
        <v>6</v>
      </c>
      <c r="O8" s="15" t="s">
        <v>6</v>
      </c>
      <c r="P8" s="15" t="s">
        <v>6</v>
      </c>
    </row>
    <row r="9" spans="1:18" x14ac:dyDescent="0.35">
      <c r="A9" s="10"/>
      <c r="B9" s="71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18" s="9" customFormat="1" x14ac:dyDescent="0.35">
      <c r="A10" s="11" t="s">
        <v>93</v>
      </c>
      <c r="C10" s="12"/>
      <c r="D10" s="12"/>
      <c r="E10" s="12"/>
      <c r="F10" s="12"/>
    </row>
    <row r="11" spans="1:18" x14ac:dyDescent="0.35">
      <c r="A11" s="22"/>
      <c r="G11" s="23"/>
    </row>
    <row r="12" spans="1:18" x14ac:dyDescent="0.35">
      <c r="A12" t="s">
        <v>44</v>
      </c>
      <c r="G12" s="23" t="s">
        <v>90</v>
      </c>
      <c r="H12" s="23" t="s">
        <v>90</v>
      </c>
      <c r="I12" s="23" t="s">
        <v>90</v>
      </c>
      <c r="J12" s="23" t="s">
        <v>90</v>
      </c>
      <c r="K12" s="23" t="s">
        <v>90</v>
      </c>
      <c r="L12" s="23" t="s">
        <v>90</v>
      </c>
      <c r="M12" s="23" t="s">
        <v>90</v>
      </c>
      <c r="N12" s="23" t="s">
        <v>90</v>
      </c>
      <c r="O12" s="23" t="s">
        <v>90</v>
      </c>
      <c r="P12" s="23" t="s">
        <v>90</v>
      </c>
    </row>
    <row r="13" spans="1:18" x14ac:dyDescent="0.35">
      <c r="A13" t="s">
        <v>45</v>
      </c>
      <c r="G13" s="23" t="s">
        <v>90</v>
      </c>
      <c r="H13" s="23" t="s">
        <v>90</v>
      </c>
      <c r="I13" s="23" t="s">
        <v>90</v>
      </c>
      <c r="J13" s="23" t="s">
        <v>90</v>
      </c>
      <c r="K13" s="23" t="s">
        <v>90</v>
      </c>
      <c r="L13" s="23" t="s">
        <v>90</v>
      </c>
      <c r="M13" s="23" t="s">
        <v>90</v>
      </c>
      <c r="N13" s="23" t="s">
        <v>90</v>
      </c>
      <c r="O13" s="23" t="s">
        <v>90</v>
      </c>
      <c r="P13" s="23" t="s">
        <v>90</v>
      </c>
    </row>
    <row r="14" spans="1:18" x14ac:dyDescent="0.35">
      <c r="A14" s="22"/>
      <c r="G14" s="23"/>
    </row>
  </sheetData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tabSelected="1" zoomScale="85" zoomScaleNormal="85" workbookViewId="0">
      <pane xSplit="2" ySplit="3" topLeftCell="C13" activePane="bottomRight" state="frozen"/>
      <selection pane="topRight" activeCell="C1" sqref="C1"/>
      <selection pane="bottomLeft" activeCell="A5" sqref="A5"/>
      <selection pane="bottomRight" activeCell="G25" sqref="G25"/>
    </sheetView>
  </sheetViews>
  <sheetFormatPr defaultRowHeight="14.5" x14ac:dyDescent="0.35"/>
  <cols>
    <col min="1" max="1" width="26.453125" customWidth="1"/>
    <col min="2" max="2" width="14.453125" customWidth="1"/>
    <col min="4" max="4" width="9.90625" bestFit="1" customWidth="1"/>
    <col min="7" max="9" width="10.54296875" bestFit="1" customWidth="1"/>
    <col min="10" max="10" width="11.6328125" bestFit="1" customWidth="1"/>
    <col min="11" max="16" width="12.7265625" bestFit="1" customWidth="1"/>
  </cols>
  <sheetData>
    <row r="1" spans="1:18" x14ac:dyDescent="0.35">
      <c r="A1" s="4" t="s">
        <v>76</v>
      </c>
      <c r="B1" s="3"/>
      <c r="C1">
        <v>11</v>
      </c>
      <c r="D1" t="s">
        <v>131</v>
      </c>
    </row>
    <row r="2" spans="1:18" x14ac:dyDescent="0.35">
      <c r="G2" s="1" t="s">
        <v>1</v>
      </c>
    </row>
    <row r="3" spans="1:18" s="2" customFormat="1" x14ac:dyDescent="0.35">
      <c r="A3" s="5" t="s">
        <v>3</v>
      </c>
      <c r="B3" s="5" t="s">
        <v>2</v>
      </c>
      <c r="C3" s="5"/>
      <c r="D3" s="5"/>
      <c r="E3" s="5">
        <v>2019</v>
      </c>
      <c r="F3" s="5">
        <v>2020</v>
      </c>
      <c r="G3" s="5">
        <v>2021</v>
      </c>
      <c r="H3" s="5">
        <f>G3+1</f>
        <v>2022</v>
      </c>
      <c r="I3" s="5">
        <f t="shared" ref="I3:P3" si="0">H3+1</f>
        <v>2023</v>
      </c>
      <c r="J3" s="5">
        <f t="shared" si="0"/>
        <v>2024</v>
      </c>
      <c r="K3" s="5">
        <f t="shared" si="0"/>
        <v>2025</v>
      </c>
      <c r="L3" s="5">
        <f t="shared" si="0"/>
        <v>2026</v>
      </c>
      <c r="M3" s="5">
        <f t="shared" si="0"/>
        <v>2027</v>
      </c>
      <c r="N3" s="5">
        <f t="shared" si="0"/>
        <v>2028</v>
      </c>
      <c r="O3" s="5">
        <f t="shared" si="0"/>
        <v>2029</v>
      </c>
      <c r="P3" s="5">
        <f t="shared" si="0"/>
        <v>2030</v>
      </c>
    </row>
    <row r="4" spans="1:18" x14ac:dyDescent="0.35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35">
      <c r="C5" s="1"/>
      <c r="D5" s="1"/>
      <c r="E5" s="1"/>
      <c r="F5" s="1"/>
    </row>
    <row r="6" spans="1:18" s="9" customFormat="1" x14ac:dyDescent="0.35">
      <c r="A6" s="11" t="s">
        <v>77</v>
      </c>
      <c r="C6" s="12"/>
      <c r="D6" s="12"/>
      <c r="E6" s="12"/>
      <c r="F6" s="12"/>
    </row>
    <row r="7" spans="1:18" x14ac:dyDescent="0.35">
      <c r="C7" s="1"/>
      <c r="D7" s="1"/>
      <c r="E7" s="1"/>
      <c r="F7" s="1"/>
    </row>
    <row r="8" spans="1:18" x14ac:dyDescent="0.35">
      <c r="A8" t="s">
        <v>37</v>
      </c>
      <c r="B8" s="7" t="s">
        <v>84</v>
      </c>
      <c r="F8">
        <v>0.1</v>
      </c>
      <c r="G8" s="15"/>
      <c r="H8" s="15"/>
      <c r="I8" s="15"/>
      <c r="J8" s="15"/>
      <c r="K8" s="15"/>
      <c r="L8" s="15"/>
      <c r="M8" s="15"/>
      <c r="N8" s="15"/>
      <c r="O8" s="15"/>
      <c r="P8" s="15"/>
    </row>
    <row r="9" spans="1:18" x14ac:dyDescent="0.35">
      <c r="A9" t="s">
        <v>95</v>
      </c>
      <c r="B9" s="7" t="s">
        <v>84</v>
      </c>
      <c r="F9">
        <v>0.6</v>
      </c>
      <c r="G9" s="63"/>
    </row>
    <row r="10" spans="1:18" x14ac:dyDescent="0.35">
      <c r="A10" t="s">
        <v>96</v>
      </c>
      <c r="B10" s="7" t="s">
        <v>84</v>
      </c>
      <c r="C10" s="7"/>
      <c r="D10" s="7"/>
      <c r="E10" s="7"/>
      <c r="F10" s="8">
        <v>0.3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</row>
    <row r="11" spans="1:18" x14ac:dyDescent="0.35">
      <c r="A11" t="s">
        <v>78</v>
      </c>
      <c r="B11" s="7" t="s">
        <v>84</v>
      </c>
      <c r="F11">
        <v>1</v>
      </c>
    </row>
    <row r="12" spans="1:18" x14ac:dyDescent="0.35">
      <c r="A12" t="s">
        <v>79</v>
      </c>
      <c r="B12" s="7" t="s">
        <v>84</v>
      </c>
    </row>
    <row r="13" spans="1:18" x14ac:dyDescent="0.35">
      <c r="A13" t="s">
        <v>75</v>
      </c>
      <c r="B13" s="7" t="s">
        <v>84</v>
      </c>
      <c r="F13" s="10">
        <f>SUM(F8:F12)</f>
        <v>2</v>
      </c>
      <c r="G13" s="10">
        <f>F13*(1+G14)</f>
        <v>1.96</v>
      </c>
      <c r="H13" s="10">
        <f t="shared" ref="H13:P13" si="1">G13*(1+H14)</f>
        <v>1.9207999999999998</v>
      </c>
      <c r="I13" s="10">
        <f t="shared" si="1"/>
        <v>1.8823839999999998</v>
      </c>
      <c r="J13" s="10">
        <f t="shared" si="1"/>
        <v>1.8447363199999998</v>
      </c>
      <c r="K13" s="10">
        <f t="shared" si="1"/>
        <v>1.8078415935999996</v>
      </c>
      <c r="L13" s="10">
        <f t="shared" si="1"/>
        <v>1.8078415935999996</v>
      </c>
      <c r="M13" s="10">
        <f t="shared" si="1"/>
        <v>1.8078415935999996</v>
      </c>
      <c r="N13" s="10">
        <f t="shared" si="1"/>
        <v>1.8078415935999996</v>
      </c>
      <c r="O13" s="10">
        <f t="shared" si="1"/>
        <v>1.8078415935999996</v>
      </c>
      <c r="P13" s="10">
        <f t="shared" si="1"/>
        <v>1.8078415935999996</v>
      </c>
    </row>
    <row r="14" spans="1:18" x14ac:dyDescent="0.35">
      <c r="A14" s="7" t="s">
        <v>80</v>
      </c>
      <c r="B14" s="7" t="s">
        <v>9</v>
      </c>
      <c r="C14" s="7"/>
      <c r="D14" s="7"/>
      <c r="E14" s="7"/>
      <c r="F14" s="7"/>
      <c r="G14" s="17">
        <f>Assumptions!G28</f>
        <v>-0.02</v>
      </c>
      <c r="H14" s="17">
        <f>Assumptions!H28</f>
        <v>-0.02</v>
      </c>
      <c r="I14" s="17">
        <f>Assumptions!I28</f>
        <v>-0.02</v>
      </c>
      <c r="J14" s="17">
        <f>Assumptions!J28</f>
        <v>-0.02</v>
      </c>
      <c r="K14" s="17">
        <f>Assumptions!K28</f>
        <v>-0.02</v>
      </c>
      <c r="L14" s="17">
        <f>Assumptions!L28</f>
        <v>0</v>
      </c>
      <c r="M14" s="17">
        <f>Assumptions!M28</f>
        <v>0</v>
      </c>
      <c r="N14" s="17">
        <f>Assumptions!N28</f>
        <v>0</v>
      </c>
      <c r="O14" s="17">
        <f>Assumptions!O28</f>
        <v>0</v>
      </c>
      <c r="P14" s="17">
        <f>Assumptions!P28</f>
        <v>0</v>
      </c>
    </row>
    <row r="17" spans="1:16" s="9" customFormat="1" x14ac:dyDescent="0.35">
      <c r="A17" s="11" t="s">
        <v>83</v>
      </c>
      <c r="C17" s="12"/>
      <c r="D17" s="12"/>
      <c r="E17" s="12"/>
      <c r="F17" s="12"/>
    </row>
    <row r="19" spans="1:16" x14ac:dyDescent="0.35">
      <c r="A19" s="75" t="s">
        <v>37</v>
      </c>
      <c r="B19" s="7" t="s">
        <v>132</v>
      </c>
      <c r="F19" s="16">
        <v>0</v>
      </c>
      <c r="G19" s="16">
        <f>Штат_людей!G19</f>
        <v>202480.8</v>
      </c>
      <c r="H19" s="16">
        <f>G19*(1+Assumptions!H29)</f>
        <v>202480.8</v>
      </c>
      <c r="I19" s="16">
        <f>H19*(1+Assumptions!I29)</f>
        <v>232852.91999999995</v>
      </c>
      <c r="J19" s="16">
        <f>I19*(1+Assumptions!J29)</f>
        <v>267780.85799999995</v>
      </c>
      <c r="K19" s="16">
        <f>J19*(1+Assumptions!K29)</f>
        <v>341367.15203774604</v>
      </c>
      <c r="L19" s="16">
        <f>K19*(1+Assumptions!L29)</f>
        <v>341367.15203774604</v>
      </c>
      <c r="M19" s="16">
        <f>L19*(1+Assumptions!M29)</f>
        <v>341367.15203774604</v>
      </c>
      <c r="N19" s="16">
        <f>M19*(1+Assumptions!N29)</f>
        <v>341367.15203774604</v>
      </c>
      <c r="O19" s="16">
        <f>N19*(1+Assumptions!O29)</f>
        <v>341367.15203774604</v>
      </c>
      <c r="P19" s="16">
        <f>O19*(1+Assumptions!P29)</f>
        <v>341367.15203774604</v>
      </c>
    </row>
    <row r="20" spans="1:16" x14ac:dyDescent="0.35">
      <c r="A20" s="75" t="s">
        <v>38</v>
      </c>
      <c r="B20" s="7" t="s">
        <v>132</v>
      </c>
      <c r="F20" s="16">
        <v>0</v>
      </c>
      <c r="G20" s="16">
        <v>5000000</v>
      </c>
      <c r="H20" s="16">
        <v>5000000</v>
      </c>
      <c r="I20" s="16">
        <v>5000000</v>
      </c>
      <c r="J20" s="16">
        <v>5000000</v>
      </c>
      <c r="K20" s="16">
        <v>5000000</v>
      </c>
      <c r="L20" s="16">
        <v>5000000</v>
      </c>
      <c r="M20" s="16">
        <v>5000000</v>
      </c>
      <c r="N20" s="16">
        <v>5000000</v>
      </c>
      <c r="O20" s="16">
        <v>5000000</v>
      </c>
      <c r="P20" s="16">
        <v>5000000</v>
      </c>
    </row>
    <row r="21" spans="1:16" x14ac:dyDescent="0.35">
      <c r="A21" s="76" t="s">
        <v>54</v>
      </c>
      <c r="B21" s="7" t="s">
        <v>132</v>
      </c>
      <c r="F21" s="16">
        <v>0</v>
      </c>
      <c r="G21" s="16">
        <v>10000</v>
      </c>
      <c r="H21" s="16">
        <v>5000</v>
      </c>
      <c r="I21" s="16">
        <v>8000</v>
      </c>
      <c r="J21" s="16">
        <v>10000</v>
      </c>
      <c r="K21" s="16">
        <v>11000</v>
      </c>
      <c r="L21" s="16">
        <v>10000</v>
      </c>
      <c r="M21" s="16">
        <v>3000</v>
      </c>
      <c r="N21" s="16">
        <v>3000</v>
      </c>
      <c r="O21" s="16">
        <v>3000</v>
      </c>
      <c r="P21" s="16">
        <v>3000</v>
      </c>
    </row>
    <row r="22" spans="1:16" x14ac:dyDescent="0.35">
      <c r="A22" s="76" t="s">
        <v>39</v>
      </c>
      <c r="B22" s="7" t="s">
        <v>132</v>
      </c>
      <c r="F22" s="16">
        <v>0</v>
      </c>
      <c r="G22" s="16">
        <v>0</v>
      </c>
      <c r="H22" s="16">
        <v>0</v>
      </c>
      <c r="I22" s="102" t="s">
        <v>127</v>
      </c>
      <c r="J22" s="102" t="s">
        <v>127</v>
      </c>
      <c r="K22" s="16">
        <v>1000000</v>
      </c>
      <c r="L22" s="16" t="s">
        <v>127</v>
      </c>
      <c r="M22" s="16">
        <v>0</v>
      </c>
      <c r="N22" s="16" t="s">
        <v>127</v>
      </c>
      <c r="O22" s="16" t="s">
        <v>127</v>
      </c>
      <c r="P22" s="16">
        <v>8000000</v>
      </c>
    </row>
    <row r="23" spans="1:16" x14ac:dyDescent="0.35">
      <c r="A23" s="76" t="s">
        <v>62</v>
      </c>
      <c r="B23" s="7" t="s">
        <v>132</v>
      </c>
      <c r="F23" s="16">
        <v>0</v>
      </c>
      <c r="G23" s="16">
        <v>500000</v>
      </c>
      <c r="H23" s="84">
        <f>G23*(1+Macro_and_inputs!H7)</f>
        <v>525000</v>
      </c>
      <c r="I23" s="16">
        <f>H23*(1+Macro_and_inputs!I7)</f>
        <v>550200</v>
      </c>
      <c r="J23" s="16">
        <f>I23*(1+Macro_and_inputs!J7)</f>
        <v>572208</v>
      </c>
      <c r="K23" s="16">
        <f>J23*(1+Macro_and_inputs!K7)</f>
        <v>597957.36</v>
      </c>
      <c r="L23" s="16">
        <f>K23*(1+Macro_and_inputs!L7)</f>
        <v>627855.228</v>
      </c>
      <c r="M23" s="16">
        <f>L23*(1+Macro_and_inputs!M7)</f>
        <v>660503.69985600002</v>
      </c>
      <c r="N23" s="16">
        <f>M23*(1+Macro_and_inputs!N7)</f>
        <v>694189.38854865602</v>
      </c>
      <c r="O23" s="16">
        <f>N23*(1+Macro_and_inputs!O7)</f>
        <v>725427.9110333455</v>
      </c>
      <c r="P23" s="16">
        <f>O23*(1+Macro_and_inputs!P7)</f>
        <v>756621.31120777933</v>
      </c>
    </row>
    <row r="24" spans="1:16" x14ac:dyDescent="0.35">
      <c r="A24" s="78" t="s">
        <v>75</v>
      </c>
      <c r="B24" s="71" t="s">
        <v>132</v>
      </c>
      <c r="C24" s="10"/>
      <c r="D24" s="10"/>
      <c r="E24" s="10"/>
      <c r="F24" s="16">
        <f>SUM(F19:F23)</f>
        <v>0</v>
      </c>
      <c r="G24" s="16">
        <f>SUM(G19:G23)</f>
        <v>5712480.7999999998</v>
      </c>
      <c r="H24" s="16">
        <f t="shared" ref="H24:P24" si="2">SUM(H19:H23)</f>
        <v>5732480.7999999998</v>
      </c>
      <c r="I24" s="16">
        <f t="shared" si="2"/>
        <v>5791052.9199999999</v>
      </c>
      <c r="J24" s="16">
        <f t="shared" si="2"/>
        <v>5849988.858</v>
      </c>
      <c r="K24" s="16">
        <f t="shared" si="2"/>
        <v>6950324.5120377466</v>
      </c>
      <c r="L24" s="16">
        <f t="shared" si="2"/>
        <v>5979222.3800377464</v>
      </c>
      <c r="M24" s="16">
        <f t="shared" si="2"/>
        <v>6004870.8518937463</v>
      </c>
      <c r="N24" s="16">
        <f t="shared" si="2"/>
        <v>6038556.5405864026</v>
      </c>
      <c r="O24" s="16">
        <f t="shared" si="2"/>
        <v>6069795.0630710917</v>
      </c>
      <c r="P24" s="16">
        <f t="shared" si="2"/>
        <v>14100988.463245526</v>
      </c>
    </row>
    <row r="25" spans="1:16" x14ac:dyDescent="0.35">
      <c r="A25" s="78" t="s">
        <v>75</v>
      </c>
      <c r="B25" s="71" t="s">
        <v>64</v>
      </c>
      <c r="F25" s="79">
        <v>0</v>
      </c>
      <c r="G25" s="80">
        <f>(G24/Доходы!G16)</f>
        <v>95208.013333333336</v>
      </c>
      <c r="H25" s="79">
        <f>(H24/Доходы!H16)</f>
        <v>75415.84515708551</v>
      </c>
      <c r="I25" s="79">
        <f>(I24/Доходы!I16)</f>
        <v>57955.353015109926</v>
      </c>
      <c r="J25" s="79">
        <f>(J24/Доходы!J16)</f>
        <v>46080.001405017436</v>
      </c>
      <c r="K25" s="79">
        <f>(K24/Доходы!K16)</f>
        <v>44158.137313230785</v>
      </c>
      <c r="L25" s="79">
        <f>(L24/Доходы!L16)</f>
        <v>49489.991121637984</v>
      </c>
      <c r="M25" s="79">
        <f>(M24/Доходы!M16)</f>
        <v>78048.329404302131</v>
      </c>
      <c r="N25" s="79">
        <f>(N24/Доходы!N16)</f>
        <v>245607.93848552121</v>
      </c>
      <c r="O25" s="79">
        <f>(O24/Доходы!N16)</f>
        <v>246878.511851396</v>
      </c>
      <c r="P25" s="79">
        <f>(P24/Доходы!N16)</f>
        <v>573533.53964448092</v>
      </c>
    </row>
    <row r="26" spans="1:16" x14ac:dyDescent="0.35">
      <c r="A26" s="76"/>
      <c r="B26" s="7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</row>
  </sheetData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19" sqref="G19"/>
    </sheetView>
  </sheetViews>
  <sheetFormatPr defaultColWidth="8.90625" defaultRowHeight="14.5" x14ac:dyDescent="0.35"/>
  <cols>
    <col min="1" max="1" width="20.81640625" style="87" customWidth="1"/>
    <col min="2" max="2" width="6.81640625" style="87" bestFit="1" customWidth="1"/>
    <col min="3" max="3" width="5.81640625" style="87" bestFit="1" customWidth="1"/>
    <col min="4" max="4" width="7.81640625" style="87" bestFit="1" customWidth="1"/>
    <col min="5" max="5" width="10.7265625" style="87" bestFit="1" customWidth="1"/>
    <col min="6" max="6" width="11.54296875" style="87" bestFit="1" customWidth="1"/>
    <col min="7" max="7" width="11.26953125" style="87" bestFit="1" customWidth="1"/>
    <col min="8" max="16384" width="8.90625" style="87"/>
  </cols>
  <sheetData>
    <row r="1" spans="1:7" s="52" customFormat="1" x14ac:dyDescent="0.35">
      <c r="A1" s="88" t="s">
        <v>100</v>
      </c>
      <c r="B1" s="89"/>
    </row>
    <row r="3" spans="1:7" x14ac:dyDescent="0.35">
      <c r="A3" s="90" t="s">
        <v>106</v>
      </c>
    </row>
    <row r="4" spans="1:7" x14ac:dyDescent="0.35">
      <c r="A4" s="90" t="s">
        <v>108</v>
      </c>
    </row>
    <row r="5" spans="1:7" ht="35.4" customHeight="1" x14ac:dyDescent="0.35">
      <c r="A5" s="94" t="s">
        <v>99</v>
      </c>
      <c r="B5" s="95" t="s">
        <v>102</v>
      </c>
      <c r="C5" s="95" t="s">
        <v>101</v>
      </c>
      <c r="D5" s="95" t="s">
        <v>123</v>
      </c>
      <c r="E5" s="95" t="s">
        <v>124</v>
      </c>
      <c r="F5" s="95" t="s">
        <v>125</v>
      </c>
      <c r="G5" s="95" t="s">
        <v>126</v>
      </c>
    </row>
    <row r="6" spans="1:7" x14ac:dyDescent="0.35">
      <c r="A6" s="96" t="s">
        <v>112</v>
      </c>
      <c r="B6" s="97">
        <v>1</v>
      </c>
      <c r="C6" s="97">
        <v>1600</v>
      </c>
      <c r="D6" s="101">
        <f>0.18+0.015</f>
        <v>0.19500000000000001</v>
      </c>
      <c r="E6" s="101">
        <f>SUM(C6+D6*C6)</f>
        <v>1912</v>
      </c>
      <c r="F6" s="97">
        <f>E6*B6</f>
        <v>1912</v>
      </c>
      <c r="G6" s="100">
        <f>F6*12</f>
        <v>22944</v>
      </c>
    </row>
    <row r="7" spans="1:7" x14ac:dyDescent="0.35">
      <c r="A7" s="96" t="s">
        <v>118</v>
      </c>
      <c r="B7" s="97">
        <v>1</v>
      </c>
      <c r="C7" s="97">
        <v>1500</v>
      </c>
      <c r="D7" s="101">
        <f t="shared" ref="D7:D19" si="0">0.18+0.015</f>
        <v>0.19500000000000001</v>
      </c>
      <c r="E7" s="101">
        <f t="shared" ref="E7:E18" si="1">SUM(C7+D7*C7)</f>
        <v>1792.5</v>
      </c>
      <c r="F7" s="97">
        <f t="shared" ref="F7:F18" si="2">E7*B7</f>
        <v>1792.5</v>
      </c>
      <c r="G7" s="100">
        <f t="shared" ref="G7:G18" si="3">F7*12</f>
        <v>21510</v>
      </c>
    </row>
    <row r="8" spans="1:7" x14ac:dyDescent="0.35">
      <c r="A8" s="96" t="s">
        <v>119</v>
      </c>
      <c r="B8" s="97">
        <v>4</v>
      </c>
      <c r="C8" s="97">
        <v>600</v>
      </c>
      <c r="D8" s="101">
        <f t="shared" si="0"/>
        <v>0.19500000000000001</v>
      </c>
      <c r="E8" s="101">
        <f t="shared" si="1"/>
        <v>717</v>
      </c>
      <c r="F8" s="97">
        <f t="shared" si="2"/>
        <v>2868</v>
      </c>
      <c r="G8" s="100">
        <f t="shared" si="3"/>
        <v>34416</v>
      </c>
    </row>
    <row r="9" spans="1:7" x14ac:dyDescent="0.35">
      <c r="A9" s="96" t="s">
        <v>117</v>
      </c>
      <c r="B9" s="97">
        <v>1</v>
      </c>
      <c r="C9" s="97">
        <v>550</v>
      </c>
      <c r="D9" s="101">
        <f t="shared" si="0"/>
        <v>0.19500000000000001</v>
      </c>
      <c r="E9" s="101">
        <f t="shared" si="1"/>
        <v>657.25</v>
      </c>
      <c r="F9" s="97">
        <f t="shared" si="2"/>
        <v>657.25</v>
      </c>
      <c r="G9" s="100">
        <f t="shared" si="3"/>
        <v>7887</v>
      </c>
    </row>
    <row r="10" spans="1:7" x14ac:dyDescent="0.35">
      <c r="A10" s="96" t="s">
        <v>116</v>
      </c>
      <c r="B10" s="97">
        <v>1</v>
      </c>
      <c r="C10" s="97">
        <v>450</v>
      </c>
      <c r="D10" s="101">
        <f t="shared" si="0"/>
        <v>0.19500000000000001</v>
      </c>
      <c r="E10" s="101">
        <f t="shared" si="1"/>
        <v>537.75</v>
      </c>
      <c r="F10" s="97">
        <f t="shared" si="2"/>
        <v>537.75</v>
      </c>
      <c r="G10" s="100">
        <f t="shared" si="3"/>
        <v>6453</v>
      </c>
    </row>
    <row r="11" spans="1:7" x14ac:dyDescent="0.35">
      <c r="A11" s="96" t="s">
        <v>115</v>
      </c>
      <c r="B11" s="97">
        <v>1</v>
      </c>
      <c r="C11" s="97">
        <v>500</v>
      </c>
      <c r="D11" s="101">
        <f t="shared" si="0"/>
        <v>0.19500000000000001</v>
      </c>
      <c r="E11" s="101">
        <f t="shared" si="1"/>
        <v>597.5</v>
      </c>
      <c r="F11" s="97">
        <f t="shared" si="2"/>
        <v>597.5</v>
      </c>
      <c r="G11" s="100">
        <f t="shared" si="3"/>
        <v>7170</v>
      </c>
    </row>
    <row r="12" spans="1:7" x14ac:dyDescent="0.35">
      <c r="A12" s="96" t="s">
        <v>104</v>
      </c>
      <c r="B12" s="97">
        <v>1</v>
      </c>
      <c r="C12" s="97">
        <v>600</v>
      </c>
      <c r="D12" s="101">
        <f t="shared" si="0"/>
        <v>0.19500000000000001</v>
      </c>
      <c r="E12" s="101">
        <f t="shared" si="1"/>
        <v>717</v>
      </c>
      <c r="F12" s="97">
        <f t="shared" si="2"/>
        <v>717</v>
      </c>
      <c r="G12" s="100">
        <f t="shared" si="3"/>
        <v>8604</v>
      </c>
    </row>
    <row r="13" spans="1:7" x14ac:dyDescent="0.35">
      <c r="A13" s="96" t="s">
        <v>105</v>
      </c>
      <c r="B13" s="97">
        <v>1</v>
      </c>
      <c r="C13" s="97">
        <v>1200</v>
      </c>
      <c r="D13" s="101">
        <f t="shared" si="0"/>
        <v>0.19500000000000001</v>
      </c>
      <c r="E13" s="101">
        <f t="shared" si="1"/>
        <v>1434</v>
      </c>
      <c r="F13" s="97">
        <f t="shared" si="2"/>
        <v>1434</v>
      </c>
      <c r="G13" s="100">
        <f t="shared" si="3"/>
        <v>17208</v>
      </c>
    </row>
    <row r="14" spans="1:7" x14ac:dyDescent="0.35">
      <c r="A14" s="96" t="s">
        <v>120</v>
      </c>
      <c r="B14" s="97">
        <v>1</v>
      </c>
      <c r="C14" s="97">
        <v>1100</v>
      </c>
      <c r="D14" s="101">
        <f t="shared" si="0"/>
        <v>0.19500000000000001</v>
      </c>
      <c r="E14" s="101">
        <f t="shared" si="1"/>
        <v>1314.5</v>
      </c>
      <c r="F14" s="97">
        <f t="shared" si="2"/>
        <v>1314.5</v>
      </c>
      <c r="G14" s="100">
        <f t="shared" si="3"/>
        <v>15774</v>
      </c>
    </row>
    <row r="15" spans="1:7" x14ac:dyDescent="0.35">
      <c r="A15" s="96" t="s">
        <v>114</v>
      </c>
      <c r="B15" s="97">
        <v>1</v>
      </c>
      <c r="C15" s="96">
        <v>700</v>
      </c>
      <c r="D15" s="101">
        <f t="shared" si="0"/>
        <v>0.19500000000000001</v>
      </c>
      <c r="E15" s="101">
        <f t="shared" si="1"/>
        <v>836.5</v>
      </c>
      <c r="F15" s="97">
        <f t="shared" si="2"/>
        <v>836.5</v>
      </c>
      <c r="G15" s="100">
        <f t="shared" si="3"/>
        <v>10038</v>
      </c>
    </row>
    <row r="16" spans="1:7" x14ac:dyDescent="0.35">
      <c r="A16" s="96" t="s">
        <v>121</v>
      </c>
      <c r="B16" s="97">
        <v>1</v>
      </c>
      <c r="C16" s="96">
        <v>420</v>
      </c>
      <c r="D16" s="101">
        <f t="shared" si="0"/>
        <v>0.19500000000000001</v>
      </c>
      <c r="E16" s="101">
        <f t="shared" si="1"/>
        <v>501.9</v>
      </c>
      <c r="F16" s="97">
        <f t="shared" si="2"/>
        <v>501.9</v>
      </c>
      <c r="G16" s="100">
        <f t="shared" si="3"/>
        <v>6022.7999999999993</v>
      </c>
    </row>
    <row r="17" spans="1:7" x14ac:dyDescent="0.35">
      <c r="A17" s="96" t="s">
        <v>122</v>
      </c>
      <c r="B17" s="97">
        <v>3</v>
      </c>
      <c r="C17" s="96">
        <v>900</v>
      </c>
      <c r="D17" s="101">
        <f t="shared" si="0"/>
        <v>0.19500000000000001</v>
      </c>
      <c r="E17" s="101">
        <f t="shared" si="1"/>
        <v>1075.5</v>
      </c>
      <c r="F17" s="97">
        <f t="shared" si="2"/>
        <v>3226.5</v>
      </c>
      <c r="G17" s="100">
        <f t="shared" si="3"/>
        <v>38718</v>
      </c>
    </row>
    <row r="18" spans="1:7" x14ac:dyDescent="0.35">
      <c r="A18" s="96" t="s">
        <v>113</v>
      </c>
      <c r="B18" s="97">
        <v>1</v>
      </c>
      <c r="C18" s="96">
        <v>400</v>
      </c>
      <c r="D18" s="101">
        <f t="shared" si="0"/>
        <v>0.19500000000000001</v>
      </c>
      <c r="E18" s="101">
        <f t="shared" si="1"/>
        <v>478</v>
      </c>
      <c r="F18" s="97">
        <f t="shared" si="2"/>
        <v>478</v>
      </c>
      <c r="G18" s="100">
        <f t="shared" si="3"/>
        <v>5736</v>
      </c>
    </row>
    <row r="19" spans="1:7" x14ac:dyDescent="0.35">
      <c r="A19" s="98" t="s">
        <v>103</v>
      </c>
      <c r="B19" s="99">
        <f>SUM(B6:B18)</f>
        <v>18</v>
      </c>
      <c r="C19" s="99">
        <f>SUM(C6:C18)</f>
        <v>10520</v>
      </c>
      <c r="D19" s="101">
        <f t="shared" si="0"/>
        <v>0.19500000000000001</v>
      </c>
      <c r="E19" s="101">
        <f>SUM(E6:E18)</f>
        <v>12571.4</v>
      </c>
      <c r="F19" s="97">
        <f>SUM(F6:F18)</f>
        <v>16873.400000000001</v>
      </c>
      <c r="G19" s="100">
        <f>SUM(G6:G18)</f>
        <v>202480.8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workbookViewId="0">
      <selection activeCell="H23" sqref="H23"/>
    </sheetView>
  </sheetViews>
  <sheetFormatPr defaultRowHeight="14.5" x14ac:dyDescent="0.35"/>
  <cols>
    <col min="1" max="1" width="28.81640625" bestFit="1" customWidth="1"/>
    <col min="2" max="2" width="9.54296875" bestFit="1" customWidth="1"/>
  </cols>
  <sheetData>
    <row r="1" spans="1:16" x14ac:dyDescent="0.35">
      <c r="A1" s="5" t="s">
        <v>3</v>
      </c>
      <c r="B1" s="5" t="s">
        <v>2</v>
      </c>
      <c r="C1" s="5"/>
      <c r="D1" s="5"/>
      <c r="E1" s="5">
        <v>2019</v>
      </c>
      <c r="F1" s="5">
        <v>2020</v>
      </c>
      <c r="G1" s="5">
        <v>2021</v>
      </c>
      <c r="H1" s="5">
        <f>G1+1</f>
        <v>2022</v>
      </c>
      <c r="I1" s="5">
        <f t="shared" ref="I1:P1" si="0">H1+1</f>
        <v>2023</v>
      </c>
      <c r="J1" s="5">
        <f t="shared" si="0"/>
        <v>2024</v>
      </c>
      <c r="K1" s="5">
        <f t="shared" si="0"/>
        <v>2025</v>
      </c>
      <c r="L1" s="5">
        <f t="shared" si="0"/>
        <v>2026</v>
      </c>
      <c r="M1" s="5">
        <f t="shared" si="0"/>
        <v>2027</v>
      </c>
      <c r="N1" s="5">
        <f t="shared" si="0"/>
        <v>2028</v>
      </c>
      <c r="O1" s="5">
        <f t="shared" si="0"/>
        <v>2029</v>
      </c>
      <c r="P1" s="5">
        <f t="shared" si="0"/>
        <v>2030</v>
      </c>
    </row>
    <row r="2" spans="1:16" x14ac:dyDescent="0.35">
      <c r="A2" s="46"/>
      <c r="B2" s="46"/>
      <c r="C2" s="62"/>
      <c r="D2" s="62" t="s">
        <v>57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x14ac:dyDescent="0.35"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x14ac:dyDescent="0.35">
      <c r="A4" t="s">
        <v>128</v>
      </c>
      <c r="B4" t="s">
        <v>131</v>
      </c>
      <c r="C4" s="1"/>
      <c r="D4" s="1"/>
      <c r="E4" s="1"/>
      <c r="F4" s="1">
        <v>30</v>
      </c>
      <c r="G4">
        <v>5</v>
      </c>
      <c r="H4">
        <v>5</v>
      </c>
      <c r="I4">
        <v>5</v>
      </c>
      <c r="J4">
        <v>5</v>
      </c>
      <c r="K4">
        <v>5</v>
      </c>
      <c r="L4">
        <v>5</v>
      </c>
      <c r="M4">
        <v>5</v>
      </c>
      <c r="N4">
        <v>5</v>
      </c>
      <c r="O4">
        <v>5</v>
      </c>
      <c r="P4">
        <v>5</v>
      </c>
    </row>
    <row r="5" spans="1:16" x14ac:dyDescent="0.35">
      <c r="A5" t="s">
        <v>129</v>
      </c>
      <c r="B5" t="s">
        <v>131</v>
      </c>
      <c r="F5">
        <v>2</v>
      </c>
      <c r="G5">
        <v>2</v>
      </c>
      <c r="H5">
        <v>2</v>
      </c>
      <c r="I5">
        <v>2</v>
      </c>
      <c r="J5">
        <v>2</v>
      </c>
      <c r="K5">
        <v>2</v>
      </c>
      <c r="L5">
        <v>2</v>
      </c>
      <c r="M5">
        <v>2</v>
      </c>
      <c r="N5">
        <v>2</v>
      </c>
      <c r="O5">
        <v>2</v>
      </c>
      <c r="P5">
        <v>2</v>
      </c>
    </row>
    <row r="6" spans="1:16" x14ac:dyDescent="0.35">
      <c r="A6" t="s">
        <v>130</v>
      </c>
      <c r="B6" t="s">
        <v>131</v>
      </c>
      <c r="F6" s="1">
        <v>0.5</v>
      </c>
      <c r="G6" s="1">
        <v>0.5</v>
      </c>
      <c r="H6" s="1">
        <v>0.5</v>
      </c>
      <c r="I6" s="1">
        <v>0.5</v>
      </c>
      <c r="J6" s="1">
        <v>0.5</v>
      </c>
      <c r="K6" s="1">
        <v>0.5</v>
      </c>
      <c r="L6" s="1">
        <v>0.5</v>
      </c>
      <c r="M6" s="1">
        <v>0.5</v>
      </c>
      <c r="N6" s="1">
        <v>0.5</v>
      </c>
      <c r="O6" s="1">
        <v>0.5</v>
      </c>
      <c r="P6" s="1">
        <v>0.5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Macro_and_inputs</vt:lpstr>
      <vt:lpstr>Assumptions</vt:lpstr>
      <vt:lpstr>Cashflow</vt:lpstr>
      <vt:lpstr>Рынок</vt:lpstr>
      <vt:lpstr>Доходы</vt:lpstr>
      <vt:lpstr>Цена</vt:lpstr>
      <vt:lpstr>Расходы</vt:lpstr>
      <vt:lpstr>Штат_людей</vt:lpstr>
      <vt:lpstr>КАПЕКС</vt:lpstr>
      <vt:lpstr>...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atokarev</dc:creator>
  <cp:lastModifiedBy>ADMIN</cp:lastModifiedBy>
  <cp:lastPrinted>2020-06-16T07:58:02Z</cp:lastPrinted>
  <dcterms:created xsi:type="dcterms:W3CDTF">2020-06-16T07:39:34Z</dcterms:created>
  <dcterms:modified xsi:type="dcterms:W3CDTF">2020-07-09T08:53:14Z</dcterms:modified>
</cp:coreProperties>
</file>